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11805" tabRatio="921" activeTab="4"/>
  </bookViews>
  <sheets>
    <sheet name="GLAVA PREDRAČUNA" sheetId="1" r:id="rId1"/>
    <sheet name="GRADB+OBRT.DELA-OBJKET" sheetId="2" r:id="rId2"/>
    <sheet name="ELEKTRO_OBJEKT" sheetId="3" r:id="rId3"/>
    <sheet name="NN_PRIKLJUČEK" sheetId="4" r:id="rId4"/>
    <sheet name="STROJNE_OBJEKT" sheetId="5" r:id="rId5"/>
    <sheet name="ZAKLONIŠČE" sheetId="6" r:id="rId6"/>
    <sheet name="ZUNANJA UREDITEV" sheetId="7" r:id="rId7"/>
    <sheet name="KANALIZACIJA" sheetId="8" r:id="rId8"/>
  </sheets>
  <definedNames>
    <definedName name="_xlnm.Print_Area" localSheetId="0">'GLAVA PREDRAČUNA'!$A$1:$D$44</definedName>
    <definedName name="_xlnm.Print_Area" localSheetId="1">'GRADB+OBRT.DELA-OBJKET'!$A$1:$F$1245</definedName>
    <definedName name="_xlnm.Print_Area" localSheetId="4">'STROJNE_OBJEKT'!$A$1:$F$931</definedName>
    <definedName name="_xlnm.Print_Area" localSheetId="5">'ZAKLONIŠČE'!$A$1:$F$146</definedName>
    <definedName name="su_montdela">#REF!</definedName>
    <definedName name="SU_NABAVAMAT">#REF!</definedName>
    <definedName name="SU_ZEMDELA">#REF!</definedName>
    <definedName name="_xlnm.Print_Titles" localSheetId="2">'ELEKTRO_OBJEKT'!$15:$15</definedName>
    <definedName name="_xlnm.Print_Titles" localSheetId="1">'GRADB+OBRT.DELA-OBJKET'!$69:$69</definedName>
    <definedName name="_xlnm.Print_Titles" localSheetId="7">'KANALIZACIJA'!$15:$15</definedName>
    <definedName name="_xlnm.Print_Titles" localSheetId="3">'NN_PRIKLJUČEK'!$45:$45</definedName>
    <definedName name="_xlnm.Print_Titles" localSheetId="4">'STROJNE_OBJEKT'!$9:$9</definedName>
    <definedName name="_xlnm.Print_Titles" localSheetId="5">'ZAKLONIŠČE'!$4:$4</definedName>
    <definedName name="_xlnm.Print_Titles" localSheetId="6">'ZUNANJA UREDITEV'!$10:$10</definedName>
  </definedNames>
  <calcPr fullCalcOnLoad="1"/>
</workbook>
</file>

<file path=xl/sharedStrings.xml><?xml version="1.0" encoding="utf-8"?>
<sst xmlns="http://schemas.openxmlformats.org/spreadsheetml/2006/main" count="4440" uniqueCount="2306">
  <si>
    <t>dobava osnovnega in pomožnega materiala</t>
  </si>
  <si>
    <t>a.</t>
  </si>
  <si>
    <t>b.</t>
  </si>
  <si>
    <t>c.</t>
  </si>
  <si>
    <t>d.</t>
  </si>
  <si>
    <t>e.</t>
  </si>
  <si>
    <t>Storitve kooperanta obsegajo, če ni z medsebojno pogodbo drugače določeno:</t>
  </si>
  <si>
    <t>snemanje potrebnih izmer na objektu</t>
  </si>
  <si>
    <t>f.</t>
  </si>
  <si>
    <t>prevoz izdelkov na objekt, z nakladanjem, razkladanjem in ekspeditom ter vsemi manipulacijami na gradbišču</t>
  </si>
  <si>
    <t>g.</t>
  </si>
  <si>
    <t>h.</t>
  </si>
  <si>
    <t>Izdelava delavniških načrtov.</t>
  </si>
  <si>
    <t>kompletno delo z vsemi dajatvami</t>
  </si>
  <si>
    <t>čiščenje izdelkov po končanem delu ter iznos vseh odpadkov na gradbiščno deponijo</t>
  </si>
  <si>
    <t>snemanje izmer na objektu</t>
  </si>
  <si>
    <t>pregled in čiščenje podlage</t>
  </si>
  <si>
    <t>vsa dela na objektu z dajatvami</t>
  </si>
  <si>
    <t>dobava vsega osnovnega in pomožnega materiala</t>
  </si>
  <si>
    <t>popravila zidov in oblog sten poškodovanih ob montaži izdelkov</t>
  </si>
  <si>
    <t>odstranjevanje ostankov materiala z iznosom v gradbiščno deponijo ter čiščenje vseh površim po končanih delih</t>
  </si>
  <si>
    <t>A.2./</t>
  </si>
  <si>
    <t>ZIDARSKA DELA:</t>
  </si>
  <si>
    <t>SLIKOPLESKARSKA DELA:</t>
  </si>
  <si>
    <t>KLJUČAVNIČARSKA DELA:</t>
  </si>
  <si>
    <t>1.</t>
  </si>
  <si>
    <t>2.</t>
  </si>
  <si>
    <t>3.</t>
  </si>
  <si>
    <t>4.</t>
  </si>
  <si>
    <t>5.</t>
  </si>
  <si>
    <t>Splošno:</t>
  </si>
  <si>
    <t>Za vse nejasnosti ali variantne rešitve se je obvezno posvetovati s projektantom.</t>
  </si>
  <si>
    <t>6.</t>
  </si>
  <si>
    <t>7.</t>
  </si>
  <si>
    <t>z.št.</t>
  </si>
  <si>
    <t>opis postavke / dela</t>
  </si>
  <si>
    <t>skupaj €</t>
  </si>
  <si>
    <t>VZIDAVE</t>
  </si>
  <si>
    <t>Vse vzidave in zidarske obdelave morajo biti izvršene v skladu s projektno dokumentacijo ali po zahtevah v drugi dokumentaciji.</t>
  </si>
  <si>
    <t xml:space="preserve">Materjal za vgrajevanje elementov, kot za zidarsko obdelavo mora po kvaliteti ustrezati določilom veljavnih predpisov </t>
  </si>
  <si>
    <t xml:space="preserve">Standardi za vzidave in zidarske obdelave zajemajo, poleg del opisanih v posamezni postavki, še:
 - merjenje in označevanje lege vzidave elementa;
 - dolbljenje oz. drug način priprave ležišča pred zalivanjem;
 -nameščanje, sidranje, opiranje, podpiranje in vezanje elementa za vzidavo;
Dobava elementov načeloma ni upoštevana pri vzidavi temveč v obrtniških delih; upoštevati jo je treba samo, če je to v posamezni postavki za vzidave posebej navedeno.
</t>
  </si>
  <si>
    <t>8.</t>
  </si>
  <si>
    <t>IZOLACIJE</t>
  </si>
  <si>
    <t>Vsa dela morajo biti izvršena tako, da je zagotovljena funkcionalnost, stabilnost, varnost, natančnost in življenjska doba posameznih elementov.</t>
  </si>
  <si>
    <t>9.</t>
  </si>
  <si>
    <t>snemanje vseh potrebnih izmer na objektu pred pričetkom izvajanja del.</t>
  </si>
  <si>
    <t>pregled in čiščenje podloge</t>
  </si>
  <si>
    <t>vsa dela na objektu vključno z vsemi dajatvami</t>
  </si>
  <si>
    <t>Kot izolacije se smatra vse vrste hidroizolacij temeljev, tlakov, zidov in stropov.
Kvaliteta dela in vgrajeni materjali morajo ustrezati določilom veljavnih tehničnih predpisov, normativov in standardov.
Standardi za izolacijska dela vsebujejo poleg izdelave, opisane v posamezni postavki, še:
- vsa dela in ukrepe po določilih veljavnih predpisov varstva pri delu;
- pripravo izolacijskega materjala s prenosom do mesta vgraditve;
 - napravo izolacij po opisu in tehničnih pogojih proizvajalca</t>
  </si>
  <si>
    <t>GRADBENA DELA:</t>
  </si>
  <si>
    <t>OBRTNIŠKA DELA:</t>
  </si>
  <si>
    <t>k</t>
  </si>
  <si>
    <t>e</t>
  </si>
  <si>
    <t>prevoz materiala in orodja na objekt z vsem potrebnim nakladanjem, ekspeditom, razkladanjem in notranjim transportom do mesta vgrajevanja ter polaganje po opisu posamezne postavke.</t>
  </si>
  <si>
    <t>Vgrajeni material za ta dela mora po kvaliteti ustrezati določilom veljavnih tehničnih predpisov</t>
  </si>
  <si>
    <t>prevoz izdelkov na objekt z nakladanjem, razkladanjem in ekspeditom ter vsemi manipulacijami na gradbišču</t>
  </si>
  <si>
    <t>Storitve kooperanta obsegajo (če ni z medsebojno pogodbo drugače določeno)</t>
  </si>
  <si>
    <t>nanos izravnalne mase, kjer je to zahtevano po opisu posamezne postavke</t>
  </si>
  <si>
    <t>odstranjevanje preostalega materiala, odnos in odvoz iz gradbišča, končno čiščenje in zavarovanje izvedenih del do predaje in podobno.</t>
  </si>
  <si>
    <t>Ključavničarska dela morajo biti izvršena po določilih veljavnih normativov in v soglasju s tehničnimi predpisi za izvajanje ključavničarskih  del.</t>
  </si>
  <si>
    <t>popravila zidov oz. oblog sten poškodovanih ob izvajanju del</t>
  </si>
  <si>
    <t>polaganje obrobnih letev  po detajlu arhitekta</t>
  </si>
  <si>
    <t>Vgrajeni materiali morajo ustrezati sledečim standardom:</t>
  </si>
  <si>
    <t>Vijaki morajo ustrezati standardu SIST EN 14566</t>
  </si>
  <si>
    <t>Obešalna višina: če v postavki ni drugače navedeno je obešalna višina do 50 cm vkalkulirana v osnovno ceno. Obešalna višina se meri od spodnjega roba primarnega nosilnega stropa do spodnjega roba gotovega obešenega stropa.</t>
  </si>
  <si>
    <t>Opomba: v obračunu površin oblog je upoštevana razvita površina vseh sten (obračunana narisna površina po vseh prostorih kjer se izvaja obloga).</t>
  </si>
  <si>
    <t>popis del s količinami</t>
  </si>
  <si>
    <t>Zidanje mora biti čisto, s pravilno vezavo opeke. Stiki morajo biti dobro zaliti z malto, vrste popolnoma vodoravne, malta pa ne sme biti v debelejšem sloju kot 15 mm.Vse površine morajo biti popolnoma ravne in navpične, odvečna malta iz stikov se mora odstraniti, dokler je še sveža.</t>
  </si>
  <si>
    <t>Standardi za zidarska dela vsebujejo poleg izdelave opisane v posamezni postavki, še vsa potrebna pomožna dela in sicer:</t>
  </si>
  <si>
    <t>Dela in ukrepe po določilih veljavnih predpisov varstva pri delu</t>
  </si>
  <si>
    <t>Prenos vode za močenje opeke in zidov, premeščanje maltark in občasno mešanje malte, dodajanje materiala in orodja</t>
  </si>
  <si>
    <t>Postavitev, premeščanje in odstranitev premičnih odrov višine do 2,00 m</t>
  </si>
  <si>
    <t>Prenos in obeleževanje višinskih točk na objektu</t>
  </si>
  <si>
    <t>Čiščenje prostorov, izdelkov in delovnih priprav med delom in po končanem delu.</t>
  </si>
  <si>
    <t xml:space="preserve"> PREDRAČUN</t>
  </si>
  <si>
    <t>Zvočna izolativnost sten med posameznimi notranjimi prostori  Rw = 42 Db</t>
  </si>
  <si>
    <t>A./</t>
  </si>
  <si>
    <t>B./</t>
  </si>
  <si>
    <t>A.2</t>
  </si>
  <si>
    <t>B.1</t>
  </si>
  <si>
    <t>B.2</t>
  </si>
  <si>
    <t>B.3</t>
  </si>
  <si>
    <t>B.4</t>
  </si>
  <si>
    <t>B.5</t>
  </si>
  <si>
    <t>B.7</t>
  </si>
  <si>
    <t>Skupaj gradbena dela:</t>
  </si>
  <si>
    <t>Skupaj obrtniška dela:</t>
  </si>
  <si>
    <t>B.1./</t>
  </si>
  <si>
    <t>OBRTNIŠKA DELA :</t>
  </si>
  <si>
    <t>Skupaj zidarska dela :</t>
  </si>
  <si>
    <t>B.2./</t>
  </si>
  <si>
    <t>Skupaj ključavničarska dela :</t>
  </si>
  <si>
    <t>B.3./</t>
  </si>
  <si>
    <t>Skupaj slikopleskarska dela:</t>
  </si>
  <si>
    <t>V enotnih cenah izdelava morajo biti zajeti tudi vsi pomožni delovni odri za delo do višine oblaganja  -  glej prereze in detajle.</t>
  </si>
  <si>
    <t>RUŠITVENA DELA:</t>
  </si>
  <si>
    <t>Rušitvena dela skupaj:</t>
  </si>
  <si>
    <t>B.5.</t>
  </si>
  <si>
    <t>C.</t>
  </si>
  <si>
    <t>Skupaj ALU steklarska dela:</t>
  </si>
  <si>
    <t>STROJNE INSTALACIJE:</t>
  </si>
  <si>
    <t>D.</t>
  </si>
  <si>
    <t>Vsa alu - steklarska dela morajo biti izvršena po določilih veljavnih normativov.</t>
  </si>
  <si>
    <t>Storitve kooperanta obsegajo, če ni z medsebojno pogodbo drugače določeno.</t>
  </si>
  <si>
    <t>snemanje potrebnih izmer na objektu pred izdelavo vseh vrat in oken ter drugih izdelkov po tem opisu.</t>
  </si>
  <si>
    <t>dobavo osnovnega in pomožnega materiala ter okovja, za odpiranje in zaklepanje vrat in oken, kjer je to predvideno po shemah projektanta.</t>
  </si>
  <si>
    <t>napravo izdelkov in montažo na objektu z vsemi dajatvami.</t>
  </si>
  <si>
    <t>osnovna zaščita in finalna obdelava izdelkov po detajlu in izboru arhitekta.</t>
  </si>
  <si>
    <t>zasteklitev po opisu in detajlu.</t>
  </si>
  <si>
    <t>prevoz izdelkov na objekt z nakladanjem, razkladanjem in ekspeditom ter vsemi manipulacijami na gradbišču.</t>
  </si>
  <si>
    <t>čiščenje izdelkov po končani montaži in podobno.</t>
  </si>
  <si>
    <t>Vse delavniške načrte izdela izvajalec ALU steklarskih del na fasadi. Delavniške načrte potrdi projektant.</t>
  </si>
  <si>
    <t>A.1./</t>
  </si>
  <si>
    <t>€/e</t>
  </si>
  <si>
    <t>A.3</t>
  </si>
  <si>
    <t>CEMENTNI ESTRIHI:</t>
  </si>
  <si>
    <t>A.</t>
  </si>
  <si>
    <t>B.</t>
  </si>
  <si>
    <t>ELEKTRO INSTALACIJE:</t>
  </si>
  <si>
    <t>MIZARSKA DELA:</t>
  </si>
  <si>
    <t xml:space="preserve">MAVČNO KARTONSKE PREDELNE STENE </t>
  </si>
  <si>
    <t>KERAMIČARSKA DELA:</t>
  </si>
  <si>
    <t>B.6</t>
  </si>
  <si>
    <t>SPUŠČENI STROPOVI:</t>
  </si>
  <si>
    <t>B.8</t>
  </si>
  <si>
    <t>B.9</t>
  </si>
  <si>
    <t>CEMENTNI ESTRIHI</t>
  </si>
  <si>
    <t>Tlakarska dela morajo biti izvršena po določiloh veljavnih normativov in v soglasju s tehničnimi predpisi za polaganje posameznih vrst tlakov.</t>
  </si>
  <si>
    <t>Storitve kooperanta obsegajo: (če ni z medsebojno pogodbo drugače določeno):</t>
  </si>
  <si>
    <t>nanos izravnalne mase, kjer je to zahtevano</t>
  </si>
  <si>
    <t>popravila zidov oz. oblog sten poškodovanih ob polaganju tlakov</t>
  </si>
  <si>
    <t>odstranjevanje preostalega materiala, odnos in odvoz iz gradbišča, končno čiščenje in zavarovanje tlakov do predaje in podobno.</t>
  </si>
  <si>
    <t>Skupaj cementni estrihi :</t>
  </si>
  <si>
    <t>Skupaj mizarska dela:</t>
  </si>
  <si>
    <t>Skupaj keramičarska dela:</t>
  </si>
  <si>
    <t>Skupaj spuščeni stropovi:</t>
  </si>
  <si>
    <t>B.8./</t>
  </si>
  <si>
    <t>Skupaj kamnoseška dela:</t>
  </si>
  <si>
    <t>B.7./</t>
  </si>
  <si>
    <t>Skupaj mavčno kartonske predelne stene:</t>
  </si>
  <si>
    <t>V enotnih cenah m orajo biti vključeni stroški na stalni deponiji. Izvajalec je dolžan predati vse evidenčne liste o oddaji odpadnega materiala</t>
  </si>
  <si>
    <r>
      <t xml:space="preserve">Enotne cene morajo vsebovati:
</t>
    </r>
    <r>
      <rPr>
        <sz val="8"/>
        <rFont val="Calibri"/>
        <family val="2"/>
      </rPr>
      <t xml:space="preserve"> - vsa potrebna dokumentacija za začetek del;
- vsa potrebna pripravljalna in pospravljalna dela;
 - pregled in čiščenje podloge, nanos izravnalne mase, kjer je to potrebno;
 - snemanje potrebnih izmer na gradbišču in po načrtih;
 - prenos in obeleževanje višinskih točk na objektu;
 - po potrebi izdelava vzorca in vgradnja le-tega na objektu;
 - ves potrebni material: glavni, pomožni, pritrdilni in vezni material;
- vse potrebne transporte in prenose;
 - ustrezno začasno skladiščenje na delovišču;
- vsa potrebna pomožna sredstva za montažo in demontažo na objektu;
 - uporabo vse potrebne mehanizacije ali drugih delovnih sredstev z vsemi stroški povezanimi s tem;
 - usklajevanje z osnovnim načrtom in posvetovanje s projektantom;
- vso potrebno delo do končnega izdelka;
 - vso potrebno zunanje (tehnolog, laboratorij) in notranje kontrole kakovosti;
 - vsa potrebna dokazovanja kakovosti materiala, pravilnega načina izvedbe in izvedenih del (certifikati uporabljenih materialov, meritve tlačne trdnosti, poročila, itd.);
 - terminsko usklajevanje del z ostalimi izvajalci na objektu;
 - vse potrebne ukrepe za doseganje zahtevane kakovosti in rokov iz potrjenega terminskega plana izvajalca;
 - popravilo morebitne povzročene škode ostalim izvajalcem na gradbišču;
- čiščenje prostorov, nakladanje in odvoz odpadnega materiala na stalno deponijo;
 - plačilo komunalnega prispevka za stalno deponijo odpadnega materiala;
 - vsi ukrepi za zaščito delavcev na gradbišču, skladno z veljavnimi predpisi s področja varnosti in zdravja pri delu;
</t>
    </r>
  </si>
  <si>
    <r>
      <t>Vgrajeni materjali za zidarska dela morajo po kvaliteti ustrezati določilom veljavnih tehničnih predpisov:
5.1./ malta za grobi in fini omet:</t>
    </r>
    <r>
      <rPr>
        <b/>
        <sz val="8"/>
        <rFont val="Calibri"/>
        <family val="2"/>
      </rPr>
      <t xml:space="preserve"> SIST EN 998-1</t>
    </r>
    <r>
      <rPr>
        <sz val="8"/>
        <rFont val="Calibri"/>
        <family val="2"/>
      </rPr>
      <t xml:space="preserve">
5.2./ malta za zidanje: </t>
    </r>
    <r>
      <rPr>
        <b/>
        <sz val="8"/>
        <rFont val="Calibri"/>
        <family val="2"/>
      </rPr>
      <t>SIST EN 998-2</t>
    </r>
    <r>
      <rPr>
        <sz val="8"/>
        <rFont val="Calibri"/>
        <family val="2"/>
      </rPr>
      <t xml:space="preserve">
5.3./ zidarski cement: </t>
    </r>
    <r>
      <rPr>
        <b/>
        <sz val="8"/>
        <rFont val="Calibri"/>
        <family val="2"/>
      </rPr>
      <t>SIST EN 413-1</t>
    </r>
    <r>
      <rPr>
        <sz val="8"/>
        <rFont val="Calibri"/>
        <family val="2"/>
      </rPr>
      <t xml:space="preserve">
5.4./ gradbeno apno: </t>
    </r>
    <r>
      <rPr>
        <b/>
        <sz val="8"/>
        <rFont val="Calibri"/>
        <family val="2"/>
      </rPr>
      <t>SIST EN 459-1</t>
    </r>
    <r>
      <rPr>
        <sz val="8"/>
        <rFont val="Calibri"/>
        <family val="2"/>
      </rPr>
      <t xml:space="preserve">
5.4./ opečni zidaki:</t>
    </r>
    <r>
      <rPr>
        <b/>
        <sz val="8"/>
        <rFont val="Calibri"/>
        <family val="2"/>
      </rPr>
      <t xml:space="preserve"> SIST EN 771-1</t>
    </r>
  </si>
  <si>
    <r>
      <t xml:space="preserve">OMETI: </t>
    </r>
    <r>
      <rPr>
        <sz val="8"/>
        <rFont val="Calibri"/>
        <family val="2"/>
      </rPr>
      <t>Standardni za izvedbo ometov vsebujejo poleg opisa, opisane v posamezni potavki še vsa pomožna dela in ukrepe kot sledi:
- dela in ukrepe po določilih veljavnih predpisov varstva pri delu.
- vsa potrebna merjenja z določanjem točk smeri, višin in ravnin, nameščanje in zaščito oznak, vodil in podobno.
- potrebno čiščenje reg in podlog ter vlaženje podlog pred pričetkom del.
- izdelava vodil (faž), zaključkov in špalet.
- zaščito izdelkov pred mrazom, vročino, vetrom in fizičnim poškodbam.
- krpanje poškodovanih podlog.
- obračun se vrši v merskih enotah navedenih v posamezni postavki.</t>
    </r>
  </si>
  <si>
    <r>
      <t xml:space="preserve">Za presojo točnosti kotov in ravnosti je potrebno uporabiti </t>
    </r>
    <r>
      <rPr>
        <b/>
        <sz val="8"/>
        <rFont val="Calibri"/>
        <family val="2"/>
      </rPr>
      <t>ONORM DIN 18202</t>
    </r>
  </si>
  <si>
    <r>
      <t xml:space="preserve">mavčne plošče morajo ustrezati standardu </t>
    </r>
    <r>
      <rPr>
        <b/>
        <sz val="8"/>
        <rFont val="Calibri"/>
        <family val="2"/>
      </rPr>
      <t>SIST EN 520</t>
    </r>
  </si>
  <si>
    <r>
      <t>Profili morajo ustrezati standardu</t>
    </r>
    <r>
      <rPr>
        <b/>
        <sz val="8"/>
        <rFont val="Calibri"/>
        <family val="2"/>
      </rPr>
      <t xml:space="preserve"> SIST EN 14195 v povezavi z DIN 18182</t>
    </r>
  </si>
  <si>
    <r>
      <t xml:space="preserve">Fugirne mase morajo ustrezati standardu </t>
    </r>
    <r>
      <rPr>
        <b/>
        <sz val="8"/>
        <rFont val="Calibri"/>
        <family val="2"/>
      </rPr>
      <t>SIST EN 13963 (DIN 1168)</t>
    </r>
  </si>
  <si>
    <r>
      <t xml:space="preserve">Izolacija mora ustrezati standardu </t>
    </r>
    <r>
      <rPr>
        <b/>
        <sz val="8"/>
        <rFont val="Calibri"/>
        <family val="2"/>
      </rPr>
      <t>DIN 18165</t>
    </r>
  </si>
  <si>
    <r>
      <t xml:space="preserve">Površina: Fugiranje stikov med ploščami in pritrdilnimi sredstvi se izvede v skladu z avstrijskim standardom oz. proizvajalčevimi smernicami. V enotni ceni je v skladu z avstrijskim standardom ÖNORM B 3415, vkalkulirana površina brez posebnih zahtev (bandaža v kvaliteti </t>
    </r>
    <r>
      <rPr>
        <b/>
        <sz val="10"/>
        <rFont val="Calibri"/>
        <family val="2"/>
      </rPr>
      <t>K2</t>
    </r>
    <r>
      <rPr>
        <sz val="8"/>
        <rFont val="Calibri"/>
        <family val="2"/>
      </rPr>
      <t>).</t>
    </r>
  </si>
  <si>
    <r>
      <t xml:space="preserve">Enotne cene morajo vsebovati:
</t>
    </r>
    <r>
      <rPr>
        <sz val="8"/>
        <rFont val="Calibri"/>
        <family val="2"/>
      </rPr>
      <t xml:space="preserve"> - vsa potrebna dokumentacija za začetek del;
- vsa potrebna pripravljalna in pospravljalna dela;
 - pregled in čiščenje podloge, nanos izravnalne mase, kjer je to potrebno;
 - snemanje potrebnih izmer na gradbišču in po načrtih;
 - prenos in obeleževanje višinskih točk na objektu;
 - po potrebi izdelava vzorca in vgradnja le-tega na objektu;
 - ves potrebni material: glavni, pomožni, pritrdilni in vezni material;
- vse potrebne transporte in prenose;
 - ustrezno začasno skladiščenje na delovišču;
- vsa potrebna pomožna sredstva za montažo in demontažo na objektu;
 - uporabo vse potrebne mehanizacije ali drugih delovnih sredstev z vsemi stroški povezanimi s tem;
 - usklajevanje z osnovnim načrtom in posvetovanje s projektantom;
- vso potrebno delo do končnega izdelka;
 - vso potrebno zunanje (tehnolog, laboratorij) in notranje kontrole kakovosti;
 - vsa potrebna dokazovanja kakovosti materiala, pravilnega načina izvedbe in izvedenih del (certifikati uporabljenih materialov, meritve tlačne trdnosti, poročila, itd.);
 - terminsko usklajevanje del z ostalimi izvajalci na objektu;
 - vse potrebne ukrepe za doseganje zahtevane kakovosti in rokov iz potrjenega terminskega plana izvajalca;
 - popravilo morebitne povzročene škode ostalim izvajalcem na gradbišču;
- čiščenje prostorov, nakladanje in odvoz odpadnega materiala na stalno deponijo;
 - plačilo komunalnega prispevka za stalno deponijo odpadnega materiala;
 - vsi ukrepi za zaščito delavcev na gradbišču, skladno z veljavnimi predpisi s področja varnosti in zdravja pri delu;
 </t>
    </r>
  </si>
  <si>
    <t>Zidarska dela se morajo izvajati po določilih veljavnih tehničnih predpisov in normativov</t>
  </si>
  <si>
    <t>Delovne prekinitve za instalacijska dela po oblaganju ene strani so vključene v osnovno ceno</t>
  </si>
  <si>
    <r>
      <rPr>
        <b/>
        <u val="single"/>
        <sz val="8"/>
        <rFont val="Calibri"/>
        <family val="2"/>
      </rPr>
      <t>OPOMBA:</t>
    </r>
    <r>
      <rPr>
        <b/>
        <sz val="8"/>
        <rFont val="Calibri"/>
        <family val="2"/>
      </rPr>
      <t xml:space="preserve"> </t>
    </r>
    <r>
      <rPr>
        <sz val="8"/>
        <rFont val="Calibri"/>
        <family val="2"/>
      </rPr>
      <t xml:space="preserve"> Pred pričetkom del in pred izdelavo ponudbe mora izvajalec dodatno pregledati obstoječe stanje  in stanje obstoječijh konstrukcij, ki se rušijo. Pregledati je potrebno že izdelan načrt rušitvenih del in projektantu ali nadzorni službi posredovati eventualne pripombe. V postavkah rušitvenih del je v cenah za enoto mere potrebno zajeti: 
A./  Vse potrebne zaščite delovne sile, strojev in neposredne okolice ter obstoječih objektov v času izvajanja rušitvenih del; še posebej pa mirujoči in tekoči promet pešcev in vozil. 
B./  Z ruševinami, ki nastanejo pri rušitvi   se ravna v skladu  s Pravilnikom o ravnanju z odpadki (Ur. l. RS št. 84/98). Pred odvozom v stalno deponije se ruševine sortirajo v skladu s klasifikacijami istega Pravilnika .</t>
    </r>
  </si>
  <si>
    <t>MIzarska dela morajo biti izvršena po določilih veljavnih normativov in v soglasju s tehničnimi predpisi za izvajanje   del.</t>
  </si>
  <si>
    <t>Vsa  dela morajo biti izvršena po določilih veljavnih normativov.</t>
  </si>
  <si>
    <t>Vsa  morajo biti izvršena po določilih veljavnih normativov.</t>
  </si>
  <si>
    <t>izvedba del po opisu in detajlu arhitekta</t>
  </si>
  <si>
    <t>FAZA: PZI - PROJEKT - G.O.I. DELA</t>
  </si>
  <si>
    <t>OP.: Izvajalec sam izdela shemo organizacije gradbišča, ki jo potrdi naročnik s svojo nadzorno službo. Izvajalec GOI del mora v enotnih cenah vseh del predvideti vse stroške, ki so odvisni od npr.; zapor pločnika, parkirnim, vseh potrebnih soglasij ustreznih institucij; pred pričetkom del in izdelavo ponudbe si mora izvajalec ogledati lokacijo izvedbe bodočih del. Naročnik ne bo priznal nobenih dodatnih stroškov, ki bi izvirali iz nepoznavanja lokacije ali drugih logističnih problemov.</t>
  </si>
  <si>
    <r>
      <rPr>
        <b/>
        <sz val="14"/>
        <rFont val="Calibri"/>
        <family val="2"/>
      </rPr>
      <t>PROJEKT</t>
    </r>
    <r>
      <rPr>
        <b/>
        <sz val="16"/>
        <rFont val="Calibri"/>
        <family val="2"/>
      </rPr>
      <t xml:space="preserve">: </t>
    </r>
  </si>
  <si>
    <t>PROJEKT:</t>
  </si>
  <si>
    <t>PRENOVA SAMSKEGA DOMA HLADILNIŠKA 34; LJUBLJANA</t>
  </si>
  <si>
    <t>ALU STEKLARSKA DELA :</t>
  </si>
  <si>
    <r>
      <rPr>
        <b/>
        <sz val="14"/>
        <rFont val="Symbol"/>
        <family val="1"/>
      </rPr>
      <t>S</t>
    </r>
    <r>
      <rPr>
        <b/>
        <sz val="14"/>
        <rFont val="Calibri"/>
        <family val="2"/>
      </rPr>
      <t xml:space="preserve"> €</t>
    </r>
  </si>
  <si>
    <t xml:space="preserve"> REKAPITULACIJA   G.O.I. DEL - OBJEKT</t>
  </si>
  <si>
    <t>I./</t>
  </si>
  <si>
    <t>SKUPNA REKAPITULACIJA:</t>
  </si>
  <si>
    <t>OBJEKT:</t>
  </si>
  <si>
    <t>II./</t>
  </si>
  <si>
    <t>ZAKLONIŠČE:</t>
  </si>
  <si>
    <t>III./</t>
  </si>
  <si>
    <t>ZUNANJA UREDITEV:</t>
  </si>
  <si>
    <t xml:space="preserve">Skupaj OBJEKT: = </t>
  </si>
  <si>
    <t>SKUPAJ =</t>
  </si>
  <si>
    <t>PREUREDITEV  SAMSKEGA DOMA HLADILNIŠKA 34</t>
  </si>
  <si>
    <t>1000 LJUBLJANA</t>
  </si>
  <si>
    <t>Ruševine in ostali odpadni material, ki nastane pri rušitvenih delih, se sortira na gradbišču v zato primernih kontejnerjih. Izvajalec je dolžan na osnovi potrjene sheme organizacije gradbišča v enotnih cenah upoštevati vse horizontalne in vertikalne transporte, nakladanje na gradbišču in odvoz v stalno deponijo oddaljeno do 15 km. Obračun se izvede na osnovi dejansko ugotovljenih količin na osnovi evidenčnih listov o predaji materiala.</t>
  </si>
  <si>
    <t>a.0.1</t>
  </si>
  <si>
    <t>Rušenje AB svetlobnih jaškov:</t>
  </si>
  <si>
    <t>a.0.2</t>
  </si>
  <si>
    <t>Odstranitev Fe rešetk na svetlobnih jaških:</t>
  </si>
  <si>
    <t>dim 100 x 260 cm</t>
  </si>
  <si>
    <t>kom</t>
  </si>
  <si>
    <t>dim 100 x 235 cm</t>
  </si>
  <si>
    <t>dim 100 x 245 cm</t>
  </si>
  <si>
    <t>dim 100 x 165 cm</t>
  </si>
  <si>
    <t>dim 100 x 155 cm</t>
  </si>
  <si>
    <t>rešetka na vhodnih stopnicah dim 465 x 60 cm.</t>
  </si>
  <si>
    <t>a.0.3</t>
  </si>
  <si>
    <t>Rušenje opečnih zidov - klet (višina kletnih prostorov, h= 3,00 m (svetla višina)).</t>
  </si>
  <si>
    <t>a.0.4</t>
  </si>
  <si>
    <t>Rušenje AB zidov in preboji v kleti:</t>
  </si>
  <si>
    <t>a.0.5</t>
  </si>
  <si>
    <t>Rušenje AB stopnišča v pritličju (vhodno stopnišče):</t>
  </si>
  <si>
    <t>a.0.6</t>
  </si>
  <si>
    <t>Rušenje - izdelava prebojev v stenah pritličja in etaže - obstoječi material betonski bloki oznaka TLB30.</t>
  </si>
  <si>
    <t>a.0.7</t>
  </si>
  <si>
    <t>Rušenje opečnih zidov: pritličje in etaže, vključno z obstoječim ometom.</t>
  </si>
  <si>
    <t>a.0.8</t>
  </si>
  <si>
    <t>Rušenje prebojev v opečnih stenah, vključno z obstoječim ometom.</t>
  </si>
  <si>
    <t>a.0.9</t>
  </si>
  <si>
    <t>Rušenje AB stebrov v pritličju (lokacija dvigalnega jaška).</t>
  </si>
  <si>
    <t>a.0.10</t>
  </si>
  <si>
    <t>Rušenje AB stažne plošče ma lokaciji dvigalnega jaška (vse etaže) dim 221 x 311 cm.</t>
  </si>
  <si>
    <t>a.0.11</t>
  </si>
  <si>
    <t>Rušenje - izdelava prebojev v obstoječih etažnih ploščah za potrebe instalacij.</t>
  </si>
  <si>
    <t>a.0.12</t>
  </si>
  <si>
    <t>Rušenje AB preklad nad vrati višine h= 30 cm.</t>
  </si>
  <si>
    <t>a.0.13</t>
  </si>
  <si>
    <t>Rušenje talne in stenske keramike skupaj z ometom na obstoječih stenah (mešani gradbeni odpadki).</t>
  </si>
  <si>
    <t>Talna keramika:</t>
  </si>
  <si>
    <t>Stenska keramika z ometom sten:</t>
  </si>
  <si>
    <t>a.0.14</t>
  </si>
  <si>
    <t>Rušenje AB balkona v osi A/2-3:</t>
  </si>
  <si>
    <t>a.0.15</t>
  </si>
  <si>
    <t>Rušenje obstoječih finalnih tlakov.</t>
  </si>
  <si>
    <t>Vinaz</t>
  </si>
  <si>
    <t>Lamelni parket; vključno z nizkostensko obrobo.</t>
  </si>
  <si>
    <t>laminat; vključno z nizkostensko obrobo</t>
  </si>
  <si>
    <t>a.0.16</t>
  </si>
  <si>
    <t>Rušenje - odstranitev obstoječih cementnih estrihov.</t>
  </si>
  <si>
    <t>Estrihi v pritličju pod keramiko, d= 7,00 cm.</t>
  </si>
  <si>
    <t>Estrih v pritličju pod vinazom, d= 11,00 cm.</t>
  </si>
  <si>
    <t>Estrih v pritličju pod lamelnim parketom, d= 2,00 cm.</t>
  </si>
  <si>
    <t>Estrih v I. ND, d= 3,00 cm - pod keramiko; enako II. ND; III. ND in mansarda.</t>
  </si>
  <si>
    <t>Estrih pod vinazom v I. nD; II. ND; III. ND in mansardi, d= 7,50 cm.</t>
  </si>
  <si>
    <t>Estrih pod lamelnim parketom v I. ND; II. ND; III. ND in mansardi; d= 2,00 cm.</t>
  </si>
  <si>
    <t>a.0.17</t>
  </si>
  <si>
    <t>Rušenje - odstarnitev PE folije pod cementnimi estrihi.</t>
  </si>
  <si>
    <t>a.0.18</t>
  </si>
  <si>
    <t>Rušenje - odstranitev toplotne izolacije tlakov - sloj v debelini d= 2,00 m.</t>
  </si>
  <si>
    <t>a.0.19</t>
  </si>
  <si>
    <t>Rušenje - odstranitev talne hidroizolacije (bitumenski trakovi).</t>
  </si>
  <si>
    <t>a.0.20</t>
  </si>
  <si>
    <t>Rušenje - odstranitev obstoječih ometov na stenah.</t>
  </si>
  <si>
    <t>a.0.21</t>
  </si>
  <si>
    <t>Rušenje - odstranitev pločevinaste kritine v mansardi.</t>
  </si>
  <si>
    <t>a.0.22</t>
  </si>
  <si>
    <t>a.0.23</t>
  </si>
  <si>
    <t>Rušenje - odstranitev obstoječe toplotne izolacije na zunanjih zidovih v mansardi. Toplotna izolacija, d= 10 cm.</t>
  </si>
  <si>
    <t>a.0.24</t>
  </si>
  <si>
    <t>Rušenje - odstranitev obstoječe žlote (pocinkane pločevine), r.š.= do 120 cm.</t>
  </si>
  <si>
    <t>a.0.25</t>
  </si>
  <si>
    <t>Rušenje AB konstrukcije zunanjega stopnišča in vmesnega tlaka (v osi C-B/A)/4.</t>
  </si>
  <si>
    <t>a.0.26</t>
  </si>
  <si>
    <t xml:space="preserve">kom </t>
  </si>
  <si>
    <t>a.0.27</t>
  </si>
  <si>
    <t>a.0.28</t>
  </si>
  <si>
    <t>Rušenje - odstranitev lesenih predelnih sten.</t>
  </si>
  <si>
    <t>a.0.29</t>
  </si>
  <si>
    <t>Rušenje - demontaža obstoječih okenskih polic - zunanje okenske police (pocinkana pločevina); r.š.= do 30 cm.</t>
  </si>
  <si>
    <t>a.0.30</t>
  </si>
  <si>
    <t>V spodnjih postavkah za rušenje in odstranitev izvajalec upošteva  samo delo in transport materiala na gradbiščno deponijo z upoštevanjem horizontalnih in vertikalnih transportov po tehnologiji, ki jo predvidi izvajalec sam. Odpadni materiali se sortirajo in odpeljejo na trajno deponijo.</t>
  </si>
  <si>
    <t>ZEMELJSKA DELA:</t>
  </si>
  <si>
    <t>BETONSKA DELA:</t>
  </si>
  <si>
    <t>TESARSKA DELA:</t>
  </si>
  <si>
    <t>A.4</t>
  </si>
  <si>
    <t>A.5</t>
  </si>
  <si>
    <t>A.6</t>
  </si>
  <si>
    <t>FASADERSKA DELA:</t>
  </si>
  <si>
    <t>A.4./</t>
  </si>
  <si>
    <t>Vsa zemeljska dela kot so; izkopi, zasipi in podobno, se morajo izvajati po določilih tehničnih predpisov in skladno z navodili na osnovi geotehničnega poročila.</t>
  </si>
  <si>
    <t>Pripravljalna in pospravljalna dela so element prodajne cene, enako tudi zakoličbe, montaža in demontaža profilov za izvedbo izkopov, prenosi višinskih točk, zaščita višinskih točk in podobno</t>
  </si>
  <si>
    <t>Pred izkopom gradbene jame je potrebno preveriti, če je zemljišče prosto vseh komunalnih  vodov kot je; elektrika, voda, kanalizacija, telekomunikacije, ipd.</t>
  </si>
  <si>
    <t>Prestavitev komunalnih vodov se obračunava po dejansko izvršenih delih in so predmet posebnega predračuna in projekta.</t>
  </si>
  <si>
    <t>Čiščenje terena pred pričetkom izkopa ni predmet tega popisa.</t>
  </si>
  <si>
    <t>Obračun izkopov se opravi mo m3 izkopa terena, merjeno na osnovi profilov, posnetih pred izkopom in po končanem izkopu.</t>
  </si>
  <si>
    <t>Standardi, ki se nanašajo zemeljska dela, oziroma materiale, ki se uporabljajo pri zemeljskih delih.</t>
  </si>
  <si>
    <t>Geotekstilije in geotekstilijam sorodni izdelki – Značilnosti, ki se zahtevajo pri nasipih, temeljih in trdnih strukturah in geotekstilije ki se zahtevajo pri drenažnih sistemih</t>
  </si>
  <si>
    <t>SIST EN 13251:2001</t>
  </si>
  <si>
    <t>SIST EN 13251:2001/ A1:2005</t>
  </si>
  <si>
    <t>SIST EN 13252:2001</t>
  </si>
  <si>
    <t>SIST EN 13252:2001/ A1:2005</t>
  </si>
  <si>
    <t>agregat za gradnjo cest</t>
  </si>
  <si>
    <t>SIST EN 12620:2002</t>
  </si>
  <si>
    <t>Opomba:</t>
  </si>
  <si>
    <r>
      <t xml:space="preserve"> </t>
    </r>
    <r>
      <rPr>
        <sz val="8"/>
        <rFont val="Calibri"/>
        <family val="2"/>
      </rPr>
      <t>V primeru da posamezne postavke v popisu ne zajemajo celotnega opisa potrebnega za funkcionalno dokončanje dela, mora izvajalec izvedbo le tega vključiti v ceno na enoto!</t>
    </r>
  </si>
  <si>
    <t>10.</t>
  </si>
  <si>
    <t>Enotne cene morajo vsebovati:</t>
  </si>
  <si>
    <t xml:space="preserve"> - vsa potrebna dokumentacija za začetek del.</t>
  </si>
  <si>
    <t xml:space="preserve"> - vsa potrebna pripravljalna in pospravljalna dela</t>
  </si>
  <si>
    <t xml:space="preserve"> - pregled in čiščenje podloge, nanos izravnalne mase, kjer je to potrebno.</t>
  </si>
  <si>
    <t xml:space="preserve"> - snemanje potrebnih izmer na gradbišču in po načrtih, prenos višinskih točk, poterbnih za izvedbo zemeljskih del in podobno</t>
  </si>
  <si>
    <t xml:space="preserve"> - prenos in obeleževanje višinskih točk na objektu.</t>
  </si>
  <si>
    <t xml:space="preserve"> - po potrebi izdelava vzorca in vgradnja le-tega na objektu.</t>
  </si>
  <si>
    <t xml:space="preserve"> - ves potrebni material: glavni, pomožni, pritrdilni in vezni material.</t>
  </si>
  <si>
    <t xml:space="preserve"> - vse potrebne transporte in prenose.</t>
  </si>
  <si>
    <t xml:space="preserve"> - ustrezno začasno skladiščenje na delovišču.</t>
  </si>
  <si>
    <t xml:space="preserve"> - vsa potrebna pomožna sredstva za montažo in demontažo na objektu.</t>
  </si>
  <si>
    <t xml:space="preserve"> - uporabo vse potrebne mehanizacije ali drugih delovnih sredstev z vsemi stroški povezanimi s tem.</t>
  </si>
  <si>
    <t xml:space="preserve"> - usklajevanje z osnovnim načrtom in posvetovanje s projektantom.</t>
  </si>
  <si>
    <t xml:space="preserve"> - vso potrebno delo do končnega izdelka.</t>
  </si>
  <si>
    <t xml:space="preserve"> - vso potrebno zunanje (tehnolog, laboratorij) in notranje kontrole kakovosti.</t>
  </si>
  <si>
    <t xml:space="preserve"> - vsa potrebna dokazovanja kakovosti materiala, pravilnega načina izvedbe in izvedenih del (certifikati uporabljenih materialov, meritve tlačne trdnosti, poročila, itd.).</t>
  </si>
  <si>
    <t xml:space="preserve"> - terminsko usklajevanje del z ostalimi izvajalci na objektu.</t>
  </si>
  <si>
    <t xml:space="preserve"> - vse potrebne ukrepe za doseganje zahtevane kakovosti in rokov iz potrjenega terminskega plana izvajalca.</t>
  </si>
  <si>
    <t xml:space="preserve"> - popravilo morebitne povzročene škode ostalim izvajalcem na gradbišču (popravila zidov oz. oblog sten poškodovanih ob polaganju asfalta).</t>
  </si>
  <si>
    <t xml:space="preserve"> - čiščenje prostorov, nakladanje in odvoz odpadnega materiala na stalno deponijo.</t>
  </si>
  <si>
    <t xml:space="preserve"> - plačilo komunalnega prispevka za stalno deponijo odpadnega materiala.</t>
  </si>
  <si>
    <t xml:space="preserve"> - vsi ukrepi za zaščito delavcev na gradbišču, skladno z veljavnimi predpisi s področja varnosti in zdravja pri delu.</t>
  </si>
  <si>
    <t>Skupaj zemeljska dela:</t>
  </si>
  <si>
    <t>Splošna določila:</t>
  </si>
  <si>
    <t>Konstrukcije iz betona morajo biti ravne, izdelane po opažnem načrtu, brez votlih mest in brez iztekanj cementnega gela na stikih opažev. Nega betona vsebuje zaščito vgrajenega betona do polne trdnosti pred prevelikim izhlapevanjem vode iz betona, kakor tudi zaščito pred nizkimi temperaturami.  Izvajalec mora pustiti v vseh betonskih konstrukcijah odprtine za montažo instalacij.  
Splošno o izgledu betonov:  Vsi betoni morajo biti izdelani v  kvalitetnem opažu in ravni. Izgled betona mora slediti določilom, ki izhajajo iz smernic DBV/BDZ, osnova pa po DIN 18217 in DIN 18500, zatevani razred določen pri posameznih postavkah. Za natančnejšo definicijo zahtev glej tehnično poročilo.</t>
  </si>
  <si>
    <t>Betonska dela se morajo izvajati po določilih veljavnih tehničnih predpisih in normativih v soglasju s SIST EN 206-1 (uporaba skupaj s SIST 1026).</t>
  </si>
  <si>
    <t>Standardi za betonska dela vsebujejo poleg izdelave opisane v posameznih postavkah, še vsa potrebna pomožna dela in sicer:</t>
  </si>
  <si>
    <t>2.1.</t>
  </si>
  <si>
    <t>dela in ukrepe po določilih veljavnih predpisih varstva pri delu.</t>
  </si>
  <si>
    <t>2.2.</t>
  </si>
  <si>
    <t>čiščenje in močenje opažev neposredno pred betoniranjem.</t>
  </si>
  <si>
    <t>2.3.</t>
  </si>
  <si>
    <t>čiščenje betonskega železa od blata, maščob in rje, ki se lušči, postavljanje podložk in začasno vezanje armature k opažu.</t>
  </si>
  <si>
    <t>2.4.</t>
  </si>
  <si>
    <t>razna popravila opažev pri betoniranju.</t>
  </si>
  <si>
    <t>2.5.</t>
  </si>
  <si>
    <t>vmetavanje betona v opaže, premeščanje lijaka med betoniranjem, premeščanje vibratorjev, ipd.</t>
  </si>
  <si>
    <t>2.6.</t>
  </si>
  <si>
    <t>čiščenje prostorov in delovnih naprav po končanem delu.</t>
  </si>
  <si>
    <t>2.7.</t>
  </si>
  <si>
    <t>nega betona (zaščita in močenje betona) skladno s projektom betona.</t>
  </si>
  <si>
    <t>Pred pričetkom vgrajevanja betona morata biti opaž in armatura popolnoma zalit z betonom;</t>
  </si>
  <si>
    <t>3.1.</t>
  </si>
  <si>
    <t>beton mora biti gost in brez gnezd. Armatura mora ostati na svojem mestu in mora biti obdana s predpisanim zaščitnim slojem betona (glej statični izračun).</t>
  </si>
  <si>
    <t>3.2.</t>
  </si>
  <si>
    <t>višina prostega pada betona ne sme biti večja od 1,00 m. V primeru da se mora beton vmetavati z večje višine je potrebno, da bi preprečili segregacijo, uporabiti eno od priznanih metod za vgrajevanje betona.</t>
  </si>
  <si>
    <t>3.3.</t>
  </si>
  <si>
    <t>kvaliteta betona mora ustrezati zahtevam splošnih določil za betonska dela in opisu del.</t>
  </si>
  <si>
    <t>3.4.</t>
  </si>
  <si>
    <t xml:space="preserve">kot vidne konstrukcije se smatrajo vse tiste konstrukcije iz betona, ki ostanejo po izdelavi neometane ali neobložene. Betonske površine morajo biti ravne in vertikalne skladno z DIN normativi za ustrezne objekte (DIN 18802). Vidne betonske površine ne smejo biti krpane ali kako drugače zidarsko obdelane. Dopustna je samo obdelava odprtin za vezanje opažev in sicer tako,  da se jih zapre s plastičnimi čepi. </t>
  </si>
  <si>
    <t>Opis dela:</t>
  </si>
  <si>
    <t>4.1.</t>
  </si>
  <si>
    <t>ročno vgrajevanje z ročnim ali strojnim zgoščevanjem betona v konstrukcije določenega preseka po opisu del.</t>
  </si>
  <si>
    <t>4.2.</t>
  </si>
  <si>
    <t>naprava in transport betona s prenosom vsega materiala do mesta vgrajevanja.</t>
  </si>
  <si>
    <t>4.3.</t>
  </si>
  <si>
    <t>vsa pomožna dela po opisu splošnih določil za betonska dela.</t>
  </si>
  <si>
    <t>Obračun:</t>
  </si>
  <si>
    <t>5.1.</t>
  </si>
  <si>
    <t>AB plošče in stene - požarna odpornost REI 60.</t>
  </si>
  <si>
    <t>Izvajalec je dolžan izdelati projekt betona pred izvajanjem betonerskih del. Projekt betona potrdi projektant.</t>
  </si>
  <si>
    <t>Vse betonske površine mora izvajalec predati popolnoma ravne, vse neravnine, ki bi jih bilo eventuelno potrebno izravnati bodo upoštevane kot nekvalitetne  in gredo na račun izvajalca betonskih del.</t>
  </si>
  <si>
    <t>V primeru da posamezne postavke v popisu ne zajemajo celotnega opisa potrebnega za funkcionalno dokončanje dela, mora ponudnik izvedbo le tega vključiti v ceno na enoto!</t>
  </si>
  <si>
    <t>Za obliko in mesto morebitne delovne rege oz. prekinitve betoniranja se je treba predhodno dogovoriti s projektantom - statikom.</t>
  </si>
  <si>
    <t>11.</t>
  </si>
  <si>
    <t>Za izvajalca del so merodajne marke betonov, ki so navedene v posamezni postavki popisa oziroma v statičnem računu in armaturnih načrtih. V primeru neskladnosti velja tolmačenje statika.</t>
  </si>
  <si>
    <t>Standardi, ki se nanašajo AB oziroma materiale, ki se uporabljajo pri AB delih.</t>
  </si>
  <si>
    <t>Cement – 1. del: Sestava, zahteve in merila skladnosti za običajne cemente</t>
  </si>
  <si>
    <t>SIST EN 197-1:2002</t>
  </si>
  <si>
    <t>Agregati za beton</t>
  </si>
  <si>
    <t>Lahki agregati – 1. del: Lahki agregati za beton, malto in injekcijsko malto</t>
  </si>
  <si>
    <t>SIST EN 13055-1:2002</t>
  </si>
  <si>
    <t>Beton - 1.del - Specifikacija, lastnosti, proizvodnja in skladnost</t>
  </si>
  <si>
    <t>SIST EN 206-1:2003</t>
  </si>
  <si>
    <t>SIST EN 206-1:2003/A1:2004</t>
  </si>
  <si>
    <t>SIST EN 206-1:2003/A2:2005</t>
  </si>
  <si>
    <t>SIST EN 1026:2004</t>
  </si>
  <si>
    <t>Armatura</t>
  </si>
  <si>
    <t>slovensko tehnično soglasje STS-05/007</t>
  </si>
  <si>
    <t>STS-05/012 za armaturne mreže</t>
  </si>
  <si>
    <t>STS-06/042 za rezano in krivljeno armaturo</t>
  </si>
  <si>
    <t>Betonarna ki proizvede beton o kontroli proizvodnje:</t>
  </si>
  <si>
    <t>Certifikat kontrole proizvodnje s strani certifikacijskega organa</t>
  </si>
  <si>
    <t>Kemijski dodatki za beton</t>
  </si>
  <si>
    <t>SIST EN 934-2:2002</t>
  </si>
  <si>
    <t>SIST EN 934-4:2002</t>
  </si>
  <si>
    <t>SIST EN 934-6:2002</t>
  </si>
  <si>
    <t>12.</t>
  </si>
  <si>
    <t xml:space="preserve"> - snemanje potrebnih izmer na gradbišču in po načrtih.</t>
  </si>
  <si>
    <t>Skupaj betonska dela:</t>
  </si>
  <si>
    <t>A.0</t>
  </si>
  <si>
    <t>A.0./</t>
  </si>
  <si>
    <t>Opaži morajo biti izdelani točno po merah v načrtu, z vsemi potrebnimi podporami, horizontalno in vertikalno povezavo, tako da so stabilni in sposobni za obtežbo z betonom. Notranje površine morajo biti čiste in ravne.</t>
  </si>
  <si>
    <t>Opaži morajo biti izdelani tako da se razopaževanje opravi brez pretresov in poškodovanja konstrukcije in opažev samih.</t>
  </si>
  <si>
    <t>Obračun se vrši po opisu v posamezni postavki, s tem da se upoštevajo pri obračunu notranje površine opažev, to je vidne površine konstrukcije.</t>
  </si>
  <si>
    <t>Standardi za tesarska dela vsebujejo poleg izdelave same, po opisu v posameznem opisu, še vsa potrebna pomožna dela, zlasti:</t>
  </si>
  <si>
    <t>a.) dela in ukrepe po določilih veljavnih predpisov varstva pri delu.</t>
  </si>
  <si>
    <t>b.) snemanje potrebnih izmer na mestu samem.</t>
  </si>
  <si>
    <t>d.) zbiranje in sortiranje lesa po dimenzijah.</t>
  </si>
  <si>
    <t>a.) naprava opažev po opisu v posamezni postavki z vsemi prenosi in transporti vsega potrebnega materiala do mesta opaževanja in pospravljanje po končanih delih, vključno z nakladanjem in odvozom vsega opažnega in drugega materiala potrebnega za izvedbo tesarskih del po opisu:</t>
  </si>
  <si>
    <t>b.) podpiranje, zavetrovanje in vezanje opažev</t>
  </si>
  <si>
    <t>c.) razopaževanje</t>
  </si>
  <si>
    <t>d.) ruvanje žičnikov, čiščenje opažev, odnos lesa v deponijo ter sortiranje po dimenzijah</t>
  </si>
  <si>
    <t>e.) vsa pomožna dela potrebna za izvedbo tesarskih del po opisu ( kot je npr: zarisovanje, obeleževanje in prenos višinskih točk in podobno, montaža in demontaža raznih profilov, montaža in demontaža vseh pomožnih odrov za izvedbo tesarksih del…) ter odovoz vsega opažnega materiala v deponijo izvajalca.</t>
  </si>
  <si>
    <t>Ravnost in vertikalnost betonskih konstrukcij po DIN normah za tovrstne objekte.</t>
  </si>
  <si>
    <t>V ceni za enoto je treba poleg del, ki so opisana v posamezni postavki ter del in ukrepov iz točke 4. tega splošnega opisa, upoštevati še:</t>
  </si>
  <si>
    <t xml:space="preserve"> - dobavo lesa in opažnih elementov, pritrdilnega, veznega in pomožnega materjala, z vsemi transporti in manipulativnimi stroški;</t>
  </si>
  <si>
    <t xml:space="preserve"> - vse notranje transporte.</t>
  </si>
  <si>
    <t>Istočasno z izdelavo opažev se polagajo v opaže tudi razvodi in doze za elektroinstalacije.</t>
  </si>
  <si>
    <t>Odri:</t>
  </si>
  <si>
    <t>Za vse odre je izdelati statični izračun s strani odgovornega statika. Odre je izdelati, pregledovati in voditi dokumentacijo v skladu s predpisi.</t>
  </si>
  <si>
    <t>Vsi odri na zgradbi morajo biti napravljeni, premeščeni in odstranjeni z delavci predpisane kvalifikacije in pod nadzorstvom odgovorne strokovne osebe.</t>
  </si>
  <si>
    <t>Ves materiala za napravo odrov mora biti kvaliteten in ustreznih dimenzij, kar je treba pred vgraditvijo preveriti.</t>
  </si>
  <si>
    <t>Pred uporabo ter vsaj enkrat tedensko med uporabo in pred ponovno uporabo po daljši prekinitvi del, mora  vse odre pregledati odgovorna strokovna oseba.</t>
  </si>
  <si>
    <t>Pred izvedbo opažev je preveriti in upoštevati vsa navodila in opombe, ki so navedene pri AB delih..</t>
  </si>
  <si>
    <t>Eventuelne distančne cevke je potrebno po odstranitvi opaža izbiti in zatesniti z materialom, ki zagotavlja vodotesnost.</t>
  </si>
  <si>
    <t>13.</t>
  </si>
  <si>
    <t>Skupaj tesarska dela:</t>
  </si>
  <si>
    <t>A.5./</t>
  </si>
  <si>
    <t>A.6.</t>
  </si>
  <si>
    <t>j.</t>
  </si>
  <si>
    <t>Skupaj fasaderska dela:</t>
  </si>
  <si>
    <t>KROVSKO - KLEPARSKA DELA:</t>
  </si>
  <si>
    <t>B.10</t>
  </si>
  <si>
    <t>B.11</t>
  </si>
  <si>
    <t>B.4./</t>
  </si>
  <si>
    <t>B.6.</t>
  </si>
  <si>
    <t>KAMNOSEŠKA DELA:</t>
  </si>
  <si>
    <t>B.9./</t>
  </si>
  <si>
    <t>Izdelava delavniških načrtov, kjer je to potrebno</t>
  </si>
  <si>
    <t>Skupaj krovsko - kleparska dela:</t>
  </si>
  <si>
    <t>B.11./</t>
  </si>
  <si>
    <t>DVIGALA:</t>
  </si>
  <si>
    <t>Skupaj DVIGALA :</t>
  </si>
  <si>
    <t>FINALNI TLAKI - PARKETARSKA DELA:</t>
  </si>
  <si>
    <t>KAMNOSEŠKA DELA :</t>
  </si>
  <si>
    <t>A.7</t>
  </si>
  <si>
    <t>SIGMA ELEMENTI:</t>
  </si>
  <si>
    <t>Skupaj sigma elementi:</t>
  </si>
  <si>
    <t>A.7.</t>
  </si>
  <si>
    <t>Rušenje - odstranitev fasadne zasteklitve; okna in balkonska vrata - velikosti do 2,00 m2/kom i sortiranje odpadkov, les steklo</t>
  </si>
  <si>
    <t>1/ Izdelava SIGMA ELEMENTA</t>
  </si>
  <si>
    <t xml:space="preserve"> </t>
  </si>
  <si>
    <t>SB DV1,2 74/28 višine 276</t>
  </si>
  <si>
    <t>Masa 483 kg</t>
  </si>
  <si>
    <t>Tip    .   .   .01</t>
  </si>
  <si>
    <t>SIGMA blok vsebuje:</t>
  </si>
  <si>
    <t xml:space="preserve">-odtočno vertikalo PP  fi 110 </t>
  </si>
  <si>
    <t xml:space="preserve"> z vsemi potrebnimi priključki</t>
  </si>
  <si>
    <t xml:space="preserve">-ravne vent. cevi fi 100 </t>
  </si>
  <si>
    <t xml:space="preserve">-ravne vent. cevi fi 120 </t>
  </si>
  <si>
    <t xml:space="preserve">-kotne vent. priključke fi 105 </t>
  </si>
  <si>
    <t xml:space="preserve">-podaljške vent. priključkov fi 105 </t>
  </si>
  <si>
    <t>-doze za el.priključke</t>
  </si>
  <si>
    <t>Kom</t>
  </si>
  <si>
    <t>2/ Izdelava SIGMA ELEMENTA</t>
  </si>
  <si>
    <t>SB DV1,2 74/28 višine 520</t>
  </si>
  <si>
    <t>Masa 792 kg</t>
  </si>
  <si>
    <t>Tip    .   .   .02</t>
  </si>
  <si>
    <t xml:space="preserve">-kotne vent. priključke fi 130 </t>
  </si>
  <si>
    <t xml:space="preserve">-podaljške vent. priključkov fi 130 </t>
  </si>
  <si>
    <t>3/ Izdelava SIGMA ELEMENTA</t>
  </si>
  <si>
    <t>SB DV3 74/50 višine 276</t>
  </si>
  <si>
    <t>Masa 899 kg</t>
  </si>
  <si>
    <t>Tip    .   .   .03</t>
  </si>
  <si>
    <t xml:space="preserve">-dvižni vod H.V.  fi 25 - VALSIR </t>
  </si>
  <si>
    <t>-dvižni vod T.V.  fi 25 - VALSIR</t>
  </si>
  <si>
    <t>-dvižni vod cirk. fi 15 - VALSIR</t>
  </si>
  <si>
    <t>-horizontalni razvod s priključki za</t>
  </si>
  <si>
    <t xml:space="preserve"> sanit.predmete in podometnimi ventili</t>
  </si>
  <si>
    <t xml:space="preserve">-odtočno vertikalo PP  fi 75 </t>
  </si>
  <si>
    <t>4/ Izdelava SIGMA ELEMENTA</t>
  </si>
  <si>
    <t>SB DV3 74/50 višine 250</t>
  </si>
  <si>
    <t>Masa 756 kg</t>
  </si>
  <si>
    <t>Tip    .   .   .04</t>
  </si>
  <si>
    <t>-dvižni vod H.V.  fi 25 - VALSIR</t>
  </si>
  <si>
    <t>5/ Izdelava SIGMA ELEMENTA</t>
  </si>
  <si>
    <t>SB DV4,5,6,7 62/45 višine 276</t>
  </si>
  <si>
    <t>Masa 687 kg</t>
  </si>
  <si>
    <t>Tip    .   .   .05</t>
  </si>
  <si>
    <t>-dvižni vod T.V.  fi 20 - VALSIR</t>
  </si>
  <si>
    <t>-priključke za vodomer tople vode</t>
  </si>
  <si>
    <t>6/ Izdelava SIGMA ELEMENTA</t>
  </si>
  <si>
    <t>SB DV4,5,6,7 62/45 višine 520</t>
  </si>
  <si>
    <t>Masa 1269 kg</t>
  </si>
  <si>
    <t>Tip    .   .   .06</t>
  </si>
  <si>
    <t>7/ Izdelava SIGMA ELEMENTA</t>
  </si>
  <si>
    <t>SB DV8 28/28 višine 276</t>
  </si>
  <si>
    <t>Masa 140 kg</t>
  </si>
  <si>
    <t>Tip    .   .   .07</t>
  </si>
  <si>
    <t xml:space="preserve">-dimno tuljavo fi 140         </t>
  </si>
  <si>
    <t>8/ Izdelava SIGMA ELEMENTA</t>
  </si>
  <si>
    <t>SB DV8 28/28 višine 520</t>
  </si>
  <si>
    <t>Masa 282 kg</t>
  </si>
  <si>
    <t>Tip    .   .   .08</t>
  </si>
  <si>
    <t>9/ Izdelava SIGMA ELEMENTA</t>
  </si>
  <si>
    <t>SB DV9,10 200/20 višine 276</t>
  </si>
  <si>
    <t>Masa 1043 kg</t>
  </si>
  <si>
    <t>Tip    .   .   .09</t>
  </si>
  <si>
    <t>-priključke za vodomer hladne vode</t>
  </si>
  <si>
    <t>10/ Izdelava SIGMA ELEMENTA</t>
  </si>
  <si>
    <t>SB DV9,10 165/20 višine 520</t>
  </si>
  <si>
    <t>Masa 1628 kg</t>
  </si>
  <si>
    <t>Tip    .   .   .10</t>
  </si>
  <si>
    <t>11/ Dobava in montaža dimniških rozet</t>
  </si>
  <si>
    <t>12/ Dobava in montaža dimniških vratic</t>
  </si>
  <si>
    <t>13/ Dobava in montaža čepov za dimnike</t>
  </si>
  <si>
    <t xml:space="preserve">Kom         </t>
  </si>
  <si>
    <t>14/ Dobava in montaža ventilacijskih rešetk</t>
  </si>
  <si>
    <t xml:space="preserve">Kom  </t>
  </si>
  <si>
    <t xml:space="preserve">15/ Dobava in montaža GEBERIT podometnih </t>
  </si>
  <si>
    <t xml:space="preserve">    vodokotličev KOMBIFIX 110.366.00.1 in</t>
  </si>
  <si>
    <t xml:space="preserve">    tipk SAMBA – BELA 115.770.11.1</t>
  </si>
  <si>
    <t>16/ Odvod kondenza od ventilacij</t>
  </si>
  <si>
    <t>17/ Dobava in montaža vodomera podometne izvedbe</t>
  </si>
  <si>
    <t xml:space="preserve">    tip ENERKON Allmess 1/2". Števec je opremljen </t>
  </si>
  <si>
    <t xml:space="preserve">    s sistemom za priključitev na M BUS</t>
  </si>
  <si>
    <t xml:space="preserve">    - za hladno vodo</t>
  </si>
  <si>
    <t xml:space="preserve">    - za toplo vodo</t>
  </si>
  <si>
    <t>18/ Dobava in montaža brezšumnih cevi</t>
  </si>
  <si>
    <t xml:space="preserve">    PIPELIFE M3 za odtok meteorne vode</t>
  </si>
  <si>
    <t xml:space="preserve">    in kanalizacije                         </t>
  </si>
  <si>
    <t xml:space="preserve">19/ Dobava in montaža odzračnih ventilov </t>
  </si>
  <si>
    <t xml:space="preserve">    tip E (SEPPELFRICKE)</t>
  </si>
  <si>
    <t>20/ Montaža  SIGMA ELEMENTOV - brez usluge dvigala</t>
  </si>
  <si>
    <t>21/ Izdelava in montaža kap UNIVERZAL</t>
  </si>
  <si>
    <t>Za SB DV1,2 74/28 višine 520</t>
  </si>
  <si>
    <t>Za SB DV3 74/50 višine 250</t>
  </si>
  <si>
    <t>Za SB DV9,10 165/20 višine 520</t>
  </si>
  <si>
    <t>22/ Izdelava in montaža kap VENTURIUS z odkapom</t>
  </si>
  <si>
    <t xml:space="preserve">23/ Tlačna preizkušnja inst.                   </t>
  </si>
  <si>
    <t xml:space="preserve">24/ Tehnični pregled dimnikov                   </t>
  </si>
  <si>
    <t xml:space="preserve">25/ Tehnični pregled ventilacij                </t>
  </si>
  <si>
    <t xml:space="preserve">26/ Pripravljalno zaključna dela             </t>
  </si>
  <si>
    <t>27/ Transport sanitarnih sten</t>
  </si>
  <si>
    <t>1.0</t>
  </si>
  <si>
    <t>GRADBENA DELA</t>
  </si>
  <si>
    <t>Poz.</t>
  </si>
  <si>
    <t>Opis in dimenzija</t>
  </si>
  <si>
    <t>1.01</t>
  </si>
  <si>
    <t>Izdelava označb za dostop do zaklonišča</t>
  </si>
  <si>
    <t>kos</t>
  </si>
  <si>
    <t>1.02</t>
  </si>
  <si>
    <t>Namestitev manjkajočih označb v zaklonišč</t>
  </si>
  <si>
    <t>1.03</t>
  </si>
  <si>
    <t>Odstranitev neustreznega peska in dobava novega peska
granulacije od 4-8 za peščeni filter</t>
  </si>
  <si>
    <t>m³</t>
  </si>
  <si>
    <t>1.04</t>
  </si>
  <si>
    <t>Izdelava jaška za izpust kondenza in sanacija obstoječih jaškov</t>
  </si>
  <si>
    <t>1.05</t>
  </si>
  <si>
    <t>Izvedba padca tlaka v peščenem filtru z 2% padcem</t>
  </si>
  <si>
    <t>1.06</t>
  </si>
  <si>
    <t xml:space="preserve">Ureditev rešetk v peščenem filtru, korodirane rešetke
 je potrebno zamenjati </t>
  </si>
  <si>
    <t>1.07</t>
  </si>
  <si>
    <t>Tesnitev vseh prebojev z plinotesnimi uvodnicami na
 betonski konstrukciji - obojestransko</t>
  </si>
  <si>
    <t>1.08</t>
  </si>
  <si>
    <t xml:space="preserve">Tesnjenje manjših razpok betonske konstrukcije z 
expandirnim betonom in obbetoniranje vzidnega elementa </t>
  </si>
  <si>
    <t>1.09</t>
  </si>
  <si>
    <t>Protiprašni premaz in popravilo poškodovanih mest</t>
  </si>
  <si>
    <t>m²</t>
  </si>
  <si>
    <t>1.10</t>
  </si>
  <si>
    <t>1.11</t>
  </si>
  <si>
    <t>Obstoječe odprtine zapreti z OSB ploščami ali knaufom
 enostransko z oporo</t>
  </si>
  <si>
    <t>Skupni znesek vseh pozicij te točke (poz. od 1.01 do 1.11 - brez DDV v EUR):</t>
  </si>
  <si>
    <t>2.0</t>
  </si>
  <si>
    <t>ZAPIRALNA SREDSTVA</t>
  </si>
  <si>
    <t>2.01</t>
  </si>
  <si>
    <t xml:space="preserve">Servis in nastavitev vseh zapiralnih sredstev </t>
  </si>
  <si>
    <t>2.02</t>
  </si>
  <si>
    <t>Ureditev hermetičnosti vratc in vrat</t>
  </si>
  <si>
    <t>2.03</t>
  </si>
  <si>
    <t>Zamenjava tesnil</t>
  </si>
  <si>
    <t>2.04</t>
  </si>
  <si>
    <t>Označbe na vratih obojestranska “odprto-zaprto”</t>
  </si>
  <si>
    <t>2.05</t>
  </si>
  <si>
    <t>Ureditev funkcionalnega odpiranja rezervnega izhoda (dvigniti stene za 0,5m in narediti ustrezen pokrov z mrežo za zajem zraka in protivlomno varovanje in preprečevanje vdora vode). Spoj dodelave jaška in osnovnega izhoda je potrebno vodotesno zatesniti</t>
  </si>
  <si>
    <t>2.06</t>
  </si>
  <si>
    <t>Lestev v rezervnem izhodu</t>
  </si>
  <si>
    <t>2.07</t>
  </si>
  <si>
    <t>Varovanje proti odpiranju vrat</t>
  </si>
  <si>
    <t>2.08</t>
  </si>
  <si>
    <t>2.09</t>
  </si>
  <si>
    <t>Izdelava nadkritja nad vhodnimi vrati</t>
  </si>
  <si>
    <t>2.10</t>
  </si>
  <si>
    <t>Čiščenje, osnovna zaščita in finalno barvanje sesalnih cevi SC 200</t>
  </si>
  <si>
    <t>2.11</t>
  </si>
  <si>
    <t>Popravila poškodovanih vrat, peskanje, čiščenje, osnovna zaščita in finalno barvanje VPH in VH vrat in okvirjev</t>
  </si>
  <si>
    <t>2.12</t>
  </si>
  <si>
    <t>Čiščenje, osnovna zaščita in finalno barvanje navadnih  vrat in okvirjev</t>
  </si>
  <si>
    <t>2.13</t>
  </si>
  <si>
    <t>2.14</t>
  </si>
  <si>
    <t>Dobava in vgradnja vrat (iz pohištvene cevi ) v predprostor glavnega vhoda</t>
  </si>
  <si>
    <t>3.0</t>
  </si>
  <si>
    <t>PREZRAČEVALNE NAPRAVE IN VENTILI</t>
  </si>
  <si>
    <t>3.01</t>
  </si>
  <si>
    <t>Servis vseh ventilov (HDV,PUV, KP UVRT, PUVRT, VRT,BZV itd.)</t>
  </si>
  <si>
    <t>3.02</t>
  </si>
  <si>
    <t>Servis filtroventilacijske naprave in pravilna povezava z prezračevanjem</t>
  </si>
  <si>
    <t>3.03</t>
  </si>
  <si>
    <t>Dobava in vgradnja tesnil za KPUVRT in VRT</t>
  </si>
  <si>
    <t>3.04</t>
  </si>
  <si>
    <t>Popravilo ročnega pogona filterventilacijske naprave</t>
  </si>
  <si>
    <t>3.05</t>
  </si>
  <si>
    <t>Dobava in skladiščenje filtra kolektivne zaščite RBK</t>
  </si>
  <si>
    <t>3.06</t>
  </si>
  <si>
    <t>Navodila za uporabo FVN</t>
  </si>
  <si>
    <t>3.07</t>
  </si>
  <si>
    <t>Elastično vpetje FVN z predelavo pritrditve z amortizerji</t>
  </si>
  <si>
    <t>3.08</t>
  </si>
  <si>
    <t>Popravilo distribucije zraka z zamenjavo dotrajanih delov in fazonskih kosov</t>
  </si>
  <si>
    <t>3.09</t>
  </si>
  <si>
    <t>Elastično vpetje prezračevanja z amortizerji</t>
  </si>
  <si>
    <t>3.10</t>
  </si>
  <si>
    <t>Vgradnja elastične dilatacije distribucije zraka Ø100, 150 in 200</t>
  </si>
  <si>
    <t>3.11</t>
  </si>
  <si>
    <t>Ozemljitev vseh naprav</t>
  </si>
  <si>
    <t>3.12</t>
  </si>
  <si>
    <t>Ozemljitev prezračevanja (brikanje)</t>
  </si>
  <si>
    <t>3.13</t>
  </si>
  <si>
    <t>Dobava in vgradnja merilca nadtlaka</t>
  </si>
  <si>
    <t>3.14</t>
  </si>
  <si>
    <t>Pravilna priključitev merilca nadpritiska s plinotesno uvodnico in 1,5 m od tajema zraka</t>
  </si>
  <si>
    <t>3.15</t>
  </si>
  <si>
    <t>Dobava in vgradnja detektorja CO z priključkom na 24 in 220 V</t>
  </si>
  <si>
    <t>3.16</t>
  </si>
  <si>
    <t>Servis in popravilo ventila za spremembo režima zračenja</t>
  </si>
  <si>
    <t>3.17</t>
  </si>
  <si>
    <t>Popravilo hitrodelujočega ventila HDV 150 in 200</t>
  </si>
  <si>
    <t>3.18</t>
  </si>
  <si>
    <t>Dobava in vgradnja protokomerjev</t>
  </si>
  <si>
    <t>3.19</t>
  </si>
  <si>
    <t>Čiščenje, osnovna zaščita in finalno barvanje filtroventilacijske naprave FVN</t>
  </si>
  <si>
    <t>3.20</t>
  </si>
  <si>
    <t xml:space="preserve">Dobava in vgradnja zaščitnih mrežic iz inoxa in zajem zraka na ventile </t>
  </si>
  <si>
    <t>3.21</t>
  </si>
  <si>
    <t>Izdelava ročice za ročni pogon</t>
  </si>
  <si>
    <t>3.22</t>
  </si>
  <si>
    <t>Mehanski filter za grobi prah – ø300</t>
  </si>
  <si>
    <t>3.23</t>
  </si>
  <si>
    <t>Popravilo spojev cevovodov in dodelava</t>
  </si>
  <si>
    <t>3.24</t>
  </si>
  <si>
    <t>Slepa vratca vgrajena v zaporo izhoda z ventilatorjem HXTR/7-250; 930 m³/h in stikalom, ki je vgrajeno na vratih za vklop ventilatorja pri vstopu v prostor</t>
  </si>
  <si>
    <t>Skupni znesek vseh pozicij te točke (poz. od 3.01 do 3.24 - brez DDV v EUR):</t>
  </si>
  <si>
    <t>4.0</t>
  </si>
  <si>
    <t>ELEKTROINŠTALACIJE</t>
  </si>
  <si>
    <t>4.01</t>
  </si>
  <si>
    <t>Elastično vpetje elektro omarice</t>
  </si>
  <si>
    <t>4.02</t>
  </si>
  <si>
    <t xml:space="preserve">Elastična pritrditev zasilne razsvetljave </t>
  </si>
  <si>
    <t>4.03</t>
  </si>
  <si>
    <t xml:space="preserve">Dobava in vgradnja ročnih generatorjev EAR 24V / 60W      </t>
  </si>
  <si>
    <t>4.04</t>
  </si>
  <si>
    <t>Menjava DM 16 (1,2-1,8)A stikal</t>
  </si>
  <si>
    <t>4.05</t>
  </si>
  <si>
    <t>Zamenjava vseh defektnih žarnic</t>
  </si>
  <si>
    <t>4.06</t>
  </si>
  <si>
    <t>Dobava in vgradnja nosilca antene, ter povezava z koaksialnem kablom in vgradnja priključnice in antene</t>
  </si>
  <si>
    <t>4.07</t>
  </si>
  <si>
    <t>Dobava in vgradnja antene z drogom</t>
  </si>
  <si>
    <t>4.08</t>
  </si>
  <si>
    <t>Dobava in vgradnja stikal luči in vtičnic za 220V (10A, IP44)</t>
  </si>
  <si>
    <t>4.09</t>
  </si>
  <si>
    <t>Izdelava enopolne sheme z meritvami</t>
  </si>
  <si>
    <t>4.10</t>
  </si>
  <si>
    <t>Meritev izenačitve potencialov</t>
  </si>
  <si>
    <t>4.11</t>
  </si>
  <si>
    <t>Izdelava instalacije zasilne razsvetljave 24V:</t>
  </si>
  <si>
    <t>*svetilka ladijska</t>
  </si>
  <si>
    <t>*vtičnica nadometna za ICO 24V/16A, IP44</t>
  </si>
  <si>
    <t xml:space="preserve">*vtičnica nadometna za anteno </t>
  </si>
  <si>
    <t xml:space="preserve">*kabel NYM-J 3x1,5 </t>
  </si>
  <si>
    <t>m</t>
  </si>
  <si>
    <t xml:space="preserve">*koaksialni kabel 75/5/173 (koka 712) </t>
  </si>
  <si>
    <t xml:space="preserve">*PN cevi Ø16 </t>
  </si>
  <si>
    <t>*doze nadometne 80x80 IP44</t>
  </si>
  <si>
    <t>*pritrdilni in spojni material  7%</t>
  </si>
  <si>
    <t>*ureditev el.omarice 24V</t>
  </si>
  <si>
    <t>*delo</t>
  </si>
  <si>
    <t>4.12</t>
  </si>
  <si>
    <t>Označitev zasilne razsvetljave</t>
  </si>
  <si>
    <t>4.13</t>
  </si>
  <si>
    <t>Izdelava kompletne elektroinstalacije 220 V:</t>
  </si>
  <si>
    <t xml:space="preserve">*svetilka ladijska  </t>
  </si>
  <si>
    <t>*svetilka FSN 9804-236</t>
  </si>
  <si>
    <t>*stikala nadometna križna</t>
  </si>
  <si>
    <t>*šuko vtičnice nadometna 250V/16A, IP44</t>
  </si>
  <si>
    <t>*šuko vtičnica nadometna s pokrovom</t>
  </si>
  <si>
    <t>*kabel NYM-J 3 x 2,5 m</t>
  </si>
  <si>
    <t>*kabel NYM-J 4 x 1,5 m</t>
  </si>
  <si>
    <t>*kabel NYM-J 5 x 1,5 m</t>
  </si>
  <si>
    <t>*razdelilne doze nadometne 80x80 IP44</t>
  </si>
  <si>
    <t xml:space="preserve">*police z nosilci </t>
  </si>
  <si>
    <t>*PN cevi Ø16</t>
  </si>
  <si>
    <t>*ureditev el.omarice 220V</t>
  </si>
  <si>
    <t>4.14</t>
  </si>
  <si>
    <t>Dobava in montaža končnega stikala za vklop ventilatorja za prezračevanje v mirnodobnem času</t>
  </si>
  <si>
    <t>5.0</t>
  </si>
  <si>
    <t>BIVALNA OPREMA</t>
  </si>
  <si>
    <t>5.01</t>
  </si>
  <si>
    <t>Dobava kompleta za samoreševanje TIP "A"</t>
  </si>
  <si>
    <t>5.02</t>
  </si>
  <si>
    <t>Dobava in vgradnja gasilnega aparata V9</t>
  </si>
  <si>
    <t>5.03</t>
  </si>
  <si>
    <t>Knjiga vzdrževanja</t>
  </si>
  <si>
    <t>5.04</t>
  </si>
  <si>
    <t>Navodila in izdelava elaborata za preureditev zaklonišča iz mirnodobne v vojnodobno funkcijo</t>
  </si>
  <si>
    <t>5.05</t>
  </si>
  <si>
    <t>Namestiti zakloniščni red</t>
  </si>
  <si>
    <t>5.06</t>
  </si>
  <si>
    <t>Dobava in vgradnja omarice za prvo pomoč</t>
  </si>
  <si>
    <t>5.07</t>
  </si>
  <si>
    <t>Izdelava ogrodja za predelne stene shramb iz jeklenih pohištvenih cevi 40x40, 30x30 in 20x20, pobarvane (pocinkane), ki so prirejene za hitro demontažo (cca. 611 kg)</t>
  </si>
  <si>
    <t>5.08</t>
  </si>
  <si>
    <t>Shrambe</t>
  </si>
  <si>
    <t>*Izdelava in montaža shramb za mirnodobno namembnost. Shrambe so narejene iz jeklenega ogrodja, ki je razstavljivo – demontažno in zaprte z OSB ploščami 10 mm</t>
  </si>
  <si>
    <t>t.m.</t>
  </si>
  <si>
    <t xml:space="preserve">*Vrata so širine 62,5 cm in so tudi izdelane iz OSB plošče
Zapirajo se z zapahom in zaklenejo z obešanko.
Na tem tlorisu se lahko postavi 19 shramb 
</t>
  </si>
  <si>
    <t>6.0</t>
  </si>
  <si>
    <t>OSTALE POMANJKLJIVOSTI</t>
  </si>
  <si>
    <t>6.01</t>
  </si>
  <si>
    <t>Čiščenje, osnovna zaščita in finalno barvanje korodiranih elementov(vzidne cevi, prehodi med stenami in povezava z peščenim filtrom)</t>
  </si>
  <si>
    <t>6.02</t>
  </si>
  <si>
    <t>Pleskanje sten (s predhodno grobo poravnavo-kitanje) in stropa z jupolom z dodatki proti plesnivosti</t>
  </si>
  <si>
    <t>m2</t>
  </si>
  <si>
    <t>6.03</t>
  </si>
  <si>
    <t>Čiščenje in priprava zaklonišča za pregled, ter priprava vse potrebne dokumentacije</t>
  </si>
  <si>
    <t>6.04</t>
  </si>
  <si>
    <t>Interni preizkus hermetičnosti</t>
  </si>
  <si>
    <t>6.05</t>
  </si>
  <si>
    <t>Inšpektorski pregled</t>
  </si>
  <si>
    <t>R E K A P I T U L A C I J A</t>
  </si>
  <si>
    <t>S K U P A J (brez DDV)</t>
  </si>
  <si>
    <t>E</t>
  </si>
  <si>
    <t>K</t>
  </si>
  <si>
    <t>€/E</t>
  </si>
  <si>
    <t>S</t>
  </si>
  <si>
    <r>
      <t>Dobava in vgradnja protipožarnih vrat EI</t>
    </r>
    <r>
      <rPr>
        <vertAlign val="subscript"/>
        <sz val="10"/>
        <color indexed="8"/>
        <rFont val="Calibri"/>
        <family val="2"/>
      </rPr>
      <t xml:space="preserve">2 </t>
    </r>
    <r>
      <rPr>
        <sz val="10"/>
        <color indexed="8"/>
        <rFont val="Calibri"/>
        <family val="2"/>
      </rPr>
      <t>30 - C2 NP pri vhodu v zaklonišče za dvonamenskost, protiudarna vrata pa pritrditi na steno zaklonišča</t>
    </r>
  </si>
  <si>
    <t>II.</t>
  </si>
  <si>
    <t>A.1</t>
  </si>
  <si>
    <t>a.0.31</t>
  </si>
  <si>
    <t>a.0.32</t>
  </si>
  <si>
    <t xml:space="preserve">Demontaža balkonskih Fe ograj </t>
  </si>
  <si>
    <t>kg</t>
  </si>
  <si>
    <t>a.0.33</t>
  </si>
  <si>
    <t>a.0.34</t>
  </si>
  <si>
    <t>Rušenje - odstranitev fasadne zasteklitve; okna in balkonska vrata - velikosti od 2,00 - 4,00  m2/kom i sortiranje odpadkov, les steklo</t>
  </si>
  <si>
    <t xml:space="preserve">Demontaža  rušenje obstoječe vertikalne bitumenske izolacije </t>
  </si>
  <si>
    <t xml:space="preserve">Demontaža obstoječe copilyt zasteklitve </t>
  </si>
  <si>
    <t>a.0.35</t>
  </si>
  <si>
    <t>Mešani gradbeni odpadki</t>
  </si>
  <si>
    <t>t</t>
  </si>
  <si>
    <t>Izolacijksi materiali iz bitumna</t>
  </si>
  <si>
    <t>Steklo</t>
  </si>
  <si>
    <t>Razni Fe izdelki</t>
  </si>
  <si>
    <t>Pocinkana pločevina</t>
  </si>
  <si>
    <t>Razni leseni izdelki: lamelni parket, okvirji oken , vrata, leseni deli predelnih sten in podobno</t>
  </si>
  <si>
    <t>Izolacijski material - kamena volna ( tervol )</t>
  </si>
  <si>
    <t xml:space="preserve">PVC folija </t>
  </si>
  <si>
    <t>a./</t>
  </si>
  <si>
    <t>b./</t>
  </si>
  <si>
    <t>c./</t>
  </si>
  <si>
    <t>d./</t>
  </si>
  <si>
    <t>e./</t>
  </si>
  <si>
    <t>f./</t>
  </si>
  <si>
    <t>g./</t>
  </si>
  <si>
    <t>h./</t>
  </si>
  <si>
    <t>i./</t>
  </si>
  <si>
    <t>Nakladanje in odvoz odpadnega materiala in ruševin v stalno deponijo oddaljeno do 15 km, kompletno z vsemi stroški in taksami na deponiji. Evidenčni listi o odddaji materiala so osnova za dejanski obračun predanih ruševin in  odpadkov.</t>
  </si>
  <si>
    <t>Preboj za novi hodnik in rušitev sten v prostorih wc-jev, ter odvoz na deponijo</t>
  </si>
  <si>
    <t>kpl</t>
  </si>
  <si>
    <t>Namestiti sistem za zaklepanje in aretiranje odprtih vrat ob steni</t>
  </si>
  <si>
    <t>b.3.1</t>
  </si>
  <si>
    <t>b.3.2</t>
  </si>
  <si>
    <t>b.3.3</t>
  </si>
  <si>
    <t>b.3.4</t>
  </si>
  <si>
    <t>b.9.1</t>
  </si>
  <si>
    <t>Dvigalo mora biti načrtovano in izdelano skladno s standardom SIST EN81-1 in skladno s Pravilnikom o varnosti dvigal (Ur.list RS št. 83/07). Po končani montaži dvigala priglašeni organ opravi končni pregled in izda certifikat.</t>
  </si>
  <si>
    <t>Signalizacija montirana v okvir jaškovnih vrat</t>
  </si>
  <si>
    <t>Izvedba naprave v skladu s standardom SIST EN 81-1</t>
  </si>
  <si>
    <t>Nosilnost:13 oseb ali 1000 kg</t>
  </si>
  <si>
    <t>Hitrost vožnje: 1,00 m/s</t>
  </si>
  <si>
    <t>Višina dviga: 13,97 m</t>
  </si>
  <si>
    <t>Število postaj:6</t>
  </si>
  <si>
    <r>
      <t>Število dostopov: 7</t>
    </r>
    <r>
      <rPr>
        <sz val="11"/>
        <rFont val="Calibri"/>
        <family val="2"/>
      </rPr>
      <t xml:space="preserve">, na nasprotni strani - </t>
    </r>
    <r>
      <rPr>
        <b/>
        <sz val="11"/>
        <rFont val="Calibri"/>
        <family val="2"/>
      </rPr>
      <t>prehodna kabina</t>
    </r>
  </si>
  <si>
    <r>
      <t>Pogonska moč: 5,7 kW</t>
    </r>
    <r>
      <rPr>
        <sz val="11"/>
        <rFont val="Calibri"/>
        <family val="2"/>
      </rPr>
      <t>, energetsko učinkovita razred »A« po standardu VDI 4707</t>
    </r>
  </si>
  <si>
    <t>Priključna napetost: 3 x 400 V, 50 Hz</t>
  </si>
  <si>
    <r>
      <rPr>
        <b/>
        <sz val="12"/>
        <rFont val="Calibri"/>
        <family val="2"/>
      </rPr>
      <t>Vrsta pogona:</t>
    </r>
    <r>
      <rPr>
        <sz val="11"/>
        <rFont val="Calibri"/>
        <family val="2"/>
      </rPr>
      <t xml:space="preserve"> Frekvenčno in napetostno krmiljeni </t>
    </r>
    <r>
      <rPr>
        <b/>
        <sz val="11"/>
        <rFont val="Calibri"/>
        <family val="2"/>
      </rPr>
      <t>regenerativni pogon</t>
    </r>
    <r>
      <rPr>
        <sz val="11"/>
        <rFont val="Calibri"/>
        <family val="2"/>
      </rPr>
      <t xml:space="preserve"> s trifaznim tokom s sinhronskim motorjem - npr. </t>
    </r>
    <r>
      <rPr>
        <b/>
        <sz val="11"/>
        <rFont val="Calibri"/>
        <family val="2"/>
      </rPr>
      <t>EcoDisc</t>
    </r>
    <r>
      <rPr>
        <sz val="11"/>
        <rFont val="Calibri"/>
        <family val="2"/>
      </rPr>
      <t xml:space="preserve"> - z izvedbo brez reduktorja in </t>
    </r>
    <r>
      <rPr>
        <b/>
        <sz val="11"/>
        <rFont val="Calibri"/>
        <family val="2"/>
      </rPr>
      <t>samodejnonastavljivim zavornim sistemom</t>
    </r>
    <r>
      <rPr>
        <sz val="11"/>
        <rFont val="Calibri"/>
        <family val="2"/>
      </rPr>
      <t xml:space="preserve"> za varno, udobno in tiho obratovanje</t>
    </r>
  </si>
  <si>
    <r>
      <rPr>
        <b/>
        <sz val="12"/>
        <rFont val="Calibri"/>
        <family val="2"/>
      </rPr>
      <t xml:space="preserve">Namestitev pogona: </t>
    </r>
    <r>
      <rPr>
        <sz val="11"/>
        <rFont val="Calibri"/>
        <family val="2"/>
      </rPr>
      <t>Sinhronski motor brez reduktorja z integriranim pogonskim diskom je pritrjen v glavi jaška na jeklenih vodilih kabine. Brez strojnice!</t>
    </r>
  </si>
  <si>
    <r>
      <rPr>
        <b/>
        <sz val="12"/>
        <rFont val="Calibri"/>
        <family val="2"/>
      </rPr>
      <t>Število voženj na uro</t>
    </r>
    <r>
      <rPr>
        <sz val="11"/>
        <rFont val="Calibri"/>
        <family val="2"/>
      </rPr>
      <t xml:space="preserve">: do 180 </t>
    </r>
  </si>
  <si>
    <r>
      <rPr>
        <b/>
        <sz val="12"/>
        <rFont val="Calibri"/>
        <family val="2"/>
      </rPr>
      <t>Notranje mere kabine:</t>
    </r>
    <r>
      <rPr>
        <sz val="11"/>
        <rFont val="Calibri"/>
        <family val="2"/>
      </rPr>
      <t xml:space="preserve"> širina: 1,10 m; globina: 2,10 m; višina: 2,10 m</t>
    </r>
  </si>
  <si>
    <r>
      <rPr>
        <b/>
        <sz val="12"/>
        <rFont val="Calibri"/>
        <family val="2"/>
      </rPr>
      <t>Kabina (po izboru naročnika):</t>
    </r>
    <r>
      <rPr>
        <sz val="11"/>
        <rFont val="Calibri"/>
        <family val="2"/>
      </rPr>
      <t xml:space="preserve"> izbor iz predloženih katalogov, stene iz iz karo strukturirane</t>
    </r>
    <r>
      <rPr>
        <b/>
        <sz val="11"/>
        <rFont val="Calibri"/>
        <family val="2"/>
      </rPr>
      <t xml:space="preserve"> nerjaveče</t>
    </r>
    <r>
      <rPr>
        <sz val="11"/>
        <rFont val="Calibri"/>
        <family val="2"/>
      </rPr>
      <t xml:space="preserve"> pločevine, tla pripravljena za lokalno oblogo po izboru arhitekta - položi naročnik, strop iz brušene nerjaveče pločevine in varčnimi </t>
    </r>
    <r>
      <rPr>
        <b/>
        <sz val="11"/>
        <rFont val="Calibri"/>
        <family val="2"/>
      </rPr>
      <t>LED</t>
    </r>
    <r>
      <rPr>
        <sz val="11"/>
        <rFont val="Calibri"/>
        <family val="2"/>
      </rPr>
      <t xml:space="preserve"> okroglimi </t>
    </r>
    <r>
      <rPr>
        <b/>
        <sz val="11"/>
        <rFont val="Calibri"/>
        <family val="2"/>
      </rPr>
      <t>svetilkami</t>
    </r>
    <r>
      <rPr>
        <sz val="11"/>
        <rFont val="Calibri"/>
        <family val="2"/>
      </rPr>
      <t>, inox okroglo oprijemalo z zaobljenimi zaključki na stranski steni, ogledalo na stranski steni nad oprijemalom, zasilna avtomatska razsvetljava, avtomatski programirljiv ventilator, prostoročna telefonska naprava za povezavo med kabino in klicnim centrom za primer reševanja ujetih oseb iz kabine dvigala (omogoča klic na 4 predhodno programirane številke)</t>
    </r>
  </si>
  <si>
    <r>
      <rPr>
        <b/>
        <sz val="12"/>
        <rFont val="Calibri"/>
        <family val="2"/>
      </rPr>
      <t xml:space="preserve">Vrata kabine: </t>
    </r>
    <r>
      <rPr>
        <sz val="11"/>
        <rFont val="Calibri"/>
        <family val="2"/>
      </rPr>
      <t>avtomatska dvodelna teleskopska vrata s krili in okvirji iz karo</t>
    </r>
    <r>
      <rPr>
        <b/>
        <sz val="11"/>
        <rFont val="Calibri"/>
        <family val="2"/>
      </rPr>
      <t xml:space="preserve"> </t>
    </r>
    <r>
      <rPr>
        <sz val="11"/>
        <rFont val="Calibri"/>
        <family val="2"/>
      </rPr>
      <t>strukturirane</t>
    </r>
    <r>
      <rPr>
        <b/>
        <sz val="11"/>
        <rFont val="Calibri"/>
        <family val="2"/>
      </rPr>
      <t xml:space="preserve"> nerjaveče</t>
    </r>
    <r>
      <rPr>
        <sz val="11"/>
        <rFont val="Calibri"/>
        <family val="2"/>
      </rPr>
      <t xml:space="preserve"> pločevine, širina: 900 mm; višina: 2100 mm, frekvenčno regulirani regenerativni pogon, varovanje z infrardečo svetlobno zaveso in omejilnikom zaporne sile</t>
    </r>
  </si>
  <si>
    <r>
      <rPr>
        <b/>
        <sz val="12"/>
        <rFont val="Calibri"/>
        <family val="2"/>
      </rPr>
      <t xml:space="preserve">Vrata jaška: </t>
    </r>
    <r>
      <rPr>
        <sz val="11"/>
        <rFont val="Calibri"/>
        <family val="2"/>
      </rPr>
      <t xml:space="preserve">avtomatska dvodelna teleskopska vrata s krili in okvirji iz </t>
    </r>
    <r>
      <rPr>
        <b/>
        <sz val="11"/>
        <rFont val="Calibri"/>
        <family val="2"/>
      </rPr>
      <t xml:space="preserve">karo </t>
    </r>
    <r>
      <rPr>
        <sz val="11"/>
        <rFont val="Calibri"/>
        <family val="2"/>
      </rPr>
      <t>strukturirane</t>
    </r>
    <r>
      <rPr>
        <b/>
        <sz val="11"/>
        <rFont val="Calibri"/>
        <family val="2"/>
      </rPr>
      <t xml:space="preserve"> nerjaveče</t>
    </r>
    <r>
      <rPr>
        <sz val="11"/>
        <rFont val="Calibri"/>
        <family val="2"/>
      </rPr>
      <t xml:space="preserve"> pločevine, širina: 900 mm; višina: 2100 mm, brez požarne odpornosti</t>
    </r>
  </si>
  <si>
    <r>
      <rPr>
        <b/>
        <sz val="12"/>
        <rFont val="Calibri"/>
        <family val="2"/>
      </rPr>
      <t xml:space="preserve">Mikroprocesorsko krmiljenje: </t>
    </r>
    <r>
      <rPr>
        <sz val="11"/>
        <rFont val="Calibri"/>
        <family val="2"/>
      </rPr>
      <t>zbirno krmiljenje simplex, požarno krmiljenje oz. evakuacijska vožnja v glavno postajo ob alarmu za požar, električno in mehansko reševanje v primeru ujetih oseb v kabini, avtomatsko natančno pristajanje in niveliranje kabine, predčasno odpiranje vrat pri vožnji v postajo, filter proti radijskim motnjam, možnost priklopa na hišni agregat, servisni panel za vzdrževalca v najvišji postaji nameščen v vratnem okvirju, regeneraivni sistem, napredne funkcije ko dvigalo ni v uporabi (stand-by, avtomatski izklop razsvetljave, avtomatski izklop ventilatorja, sporočilni pokazatelji se zatemnijo)</t>
    </r>
  </si>
  <si>
    <r>
      <rPr>
        <b/>
        <sz val="12"/>
        <rFont val="Calibri"/>
        <family val="2"/>
      </rPr>
      <t xml:space="preserve">Signalizacija: </t>
    </r>
    <r>
      <rPr>
        <sz val="11"/>
        <rFont val="Calibri"/>
        <family val="2"/>
      </rPr>
      <t>Signalizacija primerna zahtevam invalidnih oseb po SIST EN 81-70</t>
    </r>
  </si>
  <si>
    <r>
      <rPr>
        <b/>
        <sz val="12"/>
        <rFont val="Calibri"/>
        <family val="2"/>
      </rPr>
      <t xml:space="preserve">Tip: </t>
    </r>
    <r>
      <rPr>
        <sz val="11"/>
        <rFont val="Calibri"/>
        <family val="2"/>
      </rPr>
      <t>brez strojnice, uveljavljene blagovne znamke s sistemskim certifikatom, kot npr. KONE, EcoSpace ali podobna kvaliteta</t>
    </r>
  </si>
  <si>
    <r>
      <rPr>
        <b/>
        <sz val="12"/>
        <rFont val="Calibri"/>
        <family val="2"/>
      </rPr>
      <t>Namestitev dvigala:</t>
    </r>
    <r>
      <rPr>
        <sz val="11"/>
        <rFont val="Calibri"/>
        <family val="2"/>
      </rPr>
      <t xml:space="preserve"> v samostojnem betonskem jašku (ni predmet popisa)</t>
    </r>
  </si>
  <si>
    <r>
      <rPr>
        <b/>
        <sz val="12"/>
        <rFont val="Calibri"/>
        <family val="2"/>
      </rPr>
      <t xml:space="preserve">Velikost jaška: </t>
    </r>
    <r>
      <rPr>
        <sz val="11"/>
        <rFont val="Calibri"/>
        <family val="2"/>
      </rPr>
      <t>širina: 1,65 m; globina: 2,71 m</t>
    </r>
  </si>
  <si>
    <r>
      <rPr>
        <b/>
        <sz val="12"/>
        <rFont val="Calibri"/>
        <family val="2"/>
      </rPr>
      <t>Višina glave jaška:</t>
    </r>
    <r>
      <rPr>
        <sz val="11"/>
        <rFont val="Calibri"/>
        <family val="2"/>
      </rPr>
      <t xml:space="preserve"> 3,50 m</t>
    </r>
  </si>
  <si>
    <r>
      <rPr>
        <b/>
        <sz val="12"/>
        <rFont val="Calibri"/>
        <family val="2"/>
      </rPr>
      <t>Globina jame jaška:</t>
    </r>
    <r>
      <rPr>
        <sz val="11"/>
        <rFont val="Calibri"/>
        <family val="2"/>
      </rPr>
      <t xml:space="preserve"> 1,10 m</t>
    </r>
  </si>
  <si>
    <r>
      <rPr>
        <b/>
        <sz val="12"/>
        <rFont val="Calibri"/>
        <family val="2"/>
      </rPr>
      <t>Dostopni prostor pod jaškom:</t>
    </r>
    <r>
      <rPr>
        <sz val="11"/>
        <rFont val="Calibri"/>
        <family val="2"/>
      </rPr>
      <t xml:space="preserve"> NE</t>
    </r>
  </si>
  <si>
    <r>
      <rPr>
        <b/>
        <sz val="12"/>
        <rFont val="Calibri"/>
        <family val="2"/>
      </rPr>
      <t>Dodatna oprema:</t>
    </r>
    <r>
      <rPr>
        <sz val="11"/>
        <rFont val="Calibri"/>
        <family val="2"/>
      </rPr>
      <t xml:space="preserve"> razsvetljava jaška, lestev za dostop v jamo jaška, vtičnica na strehi kabine in elektrifikacija jaška, montaža brez delovnega odra v jašku</t>
    </r>
  </si>
  <si>
    <r>
      <rPr>
        <b/>
        <u val="single"/>
        <sz val="12"/>
        <rFont val="Calibri"/>
        <family val="2"/>
      </rPr>
      <t>v vseh postajah:</t>
    </r>
    <r>
      <rPr>
        <b/>
        <sz val="12"/>
        <rFont val="Calibri"/>
        <family val="2"/>
      </rPr>
      <t xml:space="preserve"> </t>
    </r>
    <r>
      <rPr>
        <sz val="11"/>
        <rFont val="Calibri"/>
        <family val="2"/>
      </rPr>
      <t>inox pozivna tipka kvadratne oblike velikosti min. 50/50mm, izobčene s poudarjenimi (reliefnimi) oznakami  prilagojena za enostavno uporabo tudi gibalno oviranih oseb, nad vrati digitalni LCD kazalnik položaja kabine in puščice smeri vožnje v tipski barvi na črnem ozadju ter gong</t>
    </r>
  </si>
  <si>
    <r>
      <rPr>
        <b/>
        <u val="single"/>
        <sz val="12"/>
        <rFont val="Calibri"/>
        <family val="2"/>
      </rPr>
      <t>v kabini:</t>
    </r>
    <r>
      <rPr>
        <b/>
        <sz val="12"/>
        <rFont val="Calibri"/>
        <family val="2"/>
      </rPr>
      <t xml:space="preserve"> </t>
    </r>
    <r>
      <rPr>
        <sz val="11"/>
        <rFont val="Calibri"/>
        <family val="2"/>
      </rPr>
      <t>intergrirano vertikalno kabinsko tipkalo v iz brušene nerjaveče pločevine, tipke za vsako postajo kvadratne oblike dimenzije, izobčene s poudarjenimi (reliefnimi) številkami za slabovidne, na vsaki tipki integrirana braillova reliefna pisava, tipka za odpiranje vrat, tipka za zapiranje vrat, tipka za alarm, digitalni LCD kazalnik preobremenitve, položaja kabine in puščice smeri vožnje v tipski barvi na črnem ozadju, stikalo na ključ za prednostno vožnjo in za rezervacijo kabine</t>
    </r>
  </si>
  <si>
    <t>Električno osebno dvigalo:</t>
  </si>
  <si>
    <t>Oenotne cene morajo vsebovati še sledeče aktivnosti in obveze:</t>
  </si>
  <si>
    <r>
      <t>§</t>
    </r>
    <r>
      <rPr>
        <sz val="7"/>
        <rFont val="Times New Roman"/>
        <family val="1"/>
      </rPr>
      <t xml:space="preserve">  </t>
    </r>
    <r>
      <rPr>
        <sz val="11"/>
        <rFont val="Calibri"/>
        <family val="2"/>
      </rPr>
      <t>Servisno tipkalo na strehi kabine.</t>
    </r>
  </si>
  <si>
    <r>
      <t>§</t>
    </r>
    <r>
      <rPr>
        <sz val="7"/>
        <rFont val="Times New Roman"/>
        <family val="1"/>
      </rPr>
      <t xml:space="preserve">  </t>
    </r>
    <r>
      <rPr>
        <sz val="11"/>
        <rFont val="Calibri"/>
        <family val="2"/>
      </rPr>
      <t>Pakiranje in transport do gradbišča.</t>
    </r>
  </si>
  <si>
    <r>
      <t>§</t>
    </r>
    <r>
      <rPr>
        <sz val="7"/>
        <rFont val="Times New Roman"/>
        <family val="1"/>
      </rPr>
      <t xml:space="preserve">  </t>
    </r>
    <r>
      <rPr>
        <b/>
        <sz val="11"/>
        <rFont val="Calibri"/>
        <family val="2"/>
      </rPr>
      <t xml:space="preserve">Dokumentacija. </t>
    </r>
    <r>
      <rPr>
        <sz val="11"/>
        <rFont val="Calibri"/>
        <family val="2"/>
      </rPr>
      <t>(delavniška dokumentacija, PID, POV navodila)</t>
    </r>
  </si>
  <si>
    <r>
      <t>§</t>
    </r>
    <r>
      <rPr>
        <sz val="7"/>
        <rFont val="Times New Roman"/>
        <family val="1"/>
      </rPr>
      <t xml:space="preserve">  </t>
    </r>
    <r>
      <rPr>
        <sz val="11"/>
        <rFont val="Calibri"/>
        <family val="2"/>
      </rPr>
      <t>Šolanje skrbnika dvigala.</t>
    </r>
  </si>
  <si>
    <r>
      <t>§</t>
    </r>
    <r>
      <rPr>
        <sz val="7"/>
        <rFont val="Times New Roman"/>
        <family val="1"/>
      </rPr>
      <t xml:space="preserve">  </t>
    </r>
    <r>
      <rPr>
        <sz val="11"/>
        <rFont val="Calibri"/>
        <family val="2"/>
      </rPr>
      <t>Ploščice in napisi, ki pripadajo neposredno dvigalu, v skladu z SIST EN81-1.</t>
    </r>
  </si>
  <si>
    <r>
      <t>§</t>
    </r>
    <r>
      <rPr>
        <sz val="7"/>
        <rFont val="Times New Roman"/>
        <family val="1"/>
      </rPr>
      <t xml:space="preserve">  </t>
    </r>
    <r>
      <rPr>
        <sz val="11"/>
        <rFont val="Calibri"/>
        <family val="2"/>
      </rPr>
      <t xml:space="preserve">Stroški za prisotnost montažnega osebja pri prevzemu dvigal in tehničnem pregledu objekta. </t>
    </r>
  </si>
  <si>
    <r>
      <t>§</t>
    </r>
    <r>
      <rPr>
        <sz val="7"/>
        <rFont val="Times New Roman"/>
        <family val="1"/>
      </rPr>
      <t xml:space="preserve">  </t>
    </r>
    <r>
      <rPr>
        <b/>
        <sz val="11"/>
        <rFont val="Calibri"/>
        <family val="2"/>
      </rPr>
      <t>Montaža dvigala brez postavljanja odrov</t>
    </r>
    <r>
      <rPr>
        <sz val="11"/>
        <rFont val="Calibri"/>
        <family val="2"/>
      </rPr>
      <t xml:space="preserve"> ob uporabi predhodno vgrajenih montažnih obešal. </t>
    </r>
  </si>
  <si>
    <r>
      <t>§</t>
    </r>
    <r>
      <rPr>
        <sz val="7"/>
        <rFont val="Times New Roman"/>
        <family val="1"/>
      </rPr>
      <t xml:space="preserve">  </t>
    </r>
    <r>
      <rPr>
        <sz val="11"/>
        <rFont val="Calibri"/>
        <family val="2"/>
      </rPr>
      <t>Lestev za pomoč pri vstopanju v jamo jaška, ki  ustreza SIST EN 81-1 predpisom.</t>
    </r>
  </si>
  <si>
    <r>
      <t>§</t>
    </r>
    <r>
      <rPr>
        <sz val="7"/>
        <rFont val="Times New Roman"/>
        <family val="1"/>
      </rPr>
      <t xml:space="preserve">  </t>
    </r>
    <r>
      <rPr>
        <sz val="11"/>
        <rFont val="Calibri"/>
        <family val="2"/>
      </rPr>
      <t>Odstranitev pakirnega materiala.</t>
    </r>
  </si>
  <si>
    <r>
      <t>§</t>
    </r>
    <r>
      <rPr>
        <sz val="7"/>
        <rFont val="Times New Roman"/>
        <family val="1"/>
      </rPr>
      <t xml:space="preserve">  </t>
    </r>
    <r>
      <rPr>
        <b/>
        <sz val="11"/>
        <rFont val="Calibri"/>
        <family val="2"/>
      </rPr>
      <t xml:space="preserve">Dobava montažnih obešal </t>
    </r>
    <r>
      <rPr>
        <sz val="11"/>
        <rFont val="Calibri"/>
        <family val="2"/>
      </rPr>
      <t>za dviganje v jašku.</t>
    </r>
  </si>
  <si>
    <r>
      <t>§</t>
    </r>
    <r>
      <rPr>
        <sz val="7"/>
        <rFont val="Times New Roman"/>
        <family val="1"/>
      </rPr>
      <t xml:space="preserve">  </t>
    </r>
    <r>
      <rPr>
        <b/>
        <sz val="11"/>
        <rFont val="Calibri"/>
        <family val="2"/>
      </rPr>
      <t>Osvetlitev in elektrifikacija jaška v skladu z SIST EN 81-1 predpisom.</t>
    </r>
  </si>
  <si>
    <r>
      <t>§</t>
    </r>
    <r>
      <rPr>
        <sz val="7"/>
        <rFont val="Times New Roman"/>
        <family val="1"/>
      </rPr>
      <t xml:space="preserve">  </t>
    </r>
    <r>
      <rPr>
        <sz val="11"/>
        <rFont val="Calibri"/>
        <family val="2"/>
      </rPr>
      <t xml:space="preserve">Stroški tehničnega pregleda dvigala in </t>
    </r>
    <r>
      <rPr>
        <b/>
        <sz val="11"/>
        <rFont val="Calibri"/>
        <family val="2"/>
      </rPr>
      <t>pridobitev certifikata.</t>
    </r>
  </si>
  <si>
    <r>
      <t>§</t>
    </r>
    <r>
      <rPr>
        <sz val="7"/>
        <rFont val="Times New Roman"/>
        <family val="1"/>
      </rPr>
      <t xml:space="preserve">  </t>
    </r>
    <r>
      <rPr>
        <sz val="11"/>
        <rFont val="Calibri"/>
        <family val="2"/>
      </rPr>
      <t>Raztovarjanje in prenašanje težkih delov dvigala na gradbišču.</t>
    </r>
  </si>
  <si>
    <r>
      <t>§</t>
    </r>
    <r>
      <rPr>
        <sz val="7"/>
        <rFont val="Times New Roman"/>
        <family val="1"/>
      </rPr>
      <t xml:space="preserve">  </t>
    </r>
    <r>
      <rPr>
        <sz val="11"/>
        <rFont val="Calibri"/>
        <family val="2"/>
      </rPr>
      <t>Enkratno naknadno čiščenje naprave po zaključku montaže.</t>
    </r>
  </si>
  <si>
    <r>
      <t>§</t>
    </r>
    <r>
      <rPr>
        <sz val="7"/>
        <rFont val="Times New Roman"/>
        <family val="1"/>
      </rPr>
      <t xml:space="preserve">  </t>
    </r>
    <r>
      <rPr>
        <sz val="11"/>
        <rFont val="Calibri"/>
        <family val="2"/>
      </rPr>
      <t>Dostava uteži pri prevzemu s strani izvedencev.</t>
    </r>
  </si>
  <si>
    <t>MAVČNO KARTONSKE PREDELNE STENE</t>
  </si>
  <si>
    <t>b.9.2</t>
  </si>
  <si>
    <t>b.9.3</t>
  </si>
  <si>
    <t>b.3.5</t>
  </si>
  <si>
    <t>b.3.6</t>
  </si>
  <si>
    <t>b.3.7</t>
  </si>
  <si>
    <t>b.9.4</t>
  </si>
  <si>
    <t>b.3.8</t>
  </si>
  <si>
    <t>b.3.9</t>
  </si>
  <si>
    <t>b.2.1</t>
  </si>
  <si>
    <t>b.2.2</t>
  </si>
  <si>
    <t>b.2.3</t>
  </si>
  <si>
    <t>b.3.10</t>
  </si>
  <si>
    <t>b.3.11</t>
  </si>
  <si>
    <t>b.3.12</t>
  </si>
  <si>
    <t>b.9.5</t>
  </si>
  <si>
    <t>b.9.6</t>
  </si>
  <si>
    <t>b.9.7</t>
  </si>
  <si>
    <t>b.9.8</t>
  </si>
  <si>
    <t>b.3.13</t>
  </si>
  <si>
    <t>b.3.14</t>
  </si>
  <si>
    <t>b.3.15</t>
  </si>
  <si>
    <t>b.3.16</t>
  </si>
  <si>
    <t>b.3.17</t>
  </si>
  <si>
    <t>b.3.18</t>
  </si>
  <si>
    <t>b.3.19</t>
  </si>
  <si>
    <t>b.2.4</t>
  </si>
  <si>
    <t>b.2.5</t>
  </si>
  <si>
    <t>b.2.6</t>
  </si>
  <si>
    <t>a.1.1</t>
  </si>
  <si>
    <t>Strojni izkop v zemljišču III. KTG z nakladanjem izkopane zemlje na trasnportno sredstvo in odvoz v stalno deponijo oddaljeno do 10 km, vključno z vsemi stroški na deponiji. Izvajalec mora predati evidenčne liste. Obračun po dejanskih količinah na osnovi profilov posnetih pred izkopom in po končanem izkopu. Izkop v naklonu (132°).</t>
  </si>
  <si>
    <t>a.1.2</t>
  </si>
  <si>
    <t>a.1.3</t>
  </si>
  <si>
    <t>a.1.4</t>
  </si>
  <si>
    <t>a.1.5</t>
  </si>
  <si>
    <r>
      <t xml:space="preserve">Planiranje dna izkopa pred izdelavo finalnega tlaka s točnostjo </t>
    </r>
    <r>
      <rPr>
        <sz val="11"/>
        <rFont val="Calibri"/>
        <family val="2"/>
      </rPr>
      <t>± 2 cm in planiranje pod odtočno muldo.</t>
    </r>
  </si>
  <si>
    <r>
      <t>m</t>
    </r>
    <r>
      <rPr>
        <b/>
        <vertAlign val="superscript"/>
        <sz val="11"/>
        <rFont val="Calibri"/>
        <family val="2"/>
      </rPr>
      <t>3</t>
    </r>
  </si>
  <si>
    <t>Ročni izkop za muldo - odtočna vzdolžna mulda; ostalo enako kot postavka a.1.1.</t>
  </si>
  <si>
    <t>Fino planiranje brežine - obdelava naklona (132°).</t>
  </si>
  <si>
    <t>a.1.6</t>
  </si>
  <si>
    <t>a.1.7</t>
  </si>
  <si>
    <t>Zatravitev poševne brežine z dobavo in razgrinjanjem humusnega sloja, d= 20 cm in sejanjem kvalitetnega travnatega semena, vključno z uvaljanjem površin.</t>
  </si>
  <si>
    <r>
      <t>m</t>
    </r>
    <r>
      <rPr>
        <b/>
        <vertAlign val="superscript"/>
        <sz val="11"/>
        <rFont val="Calibri"/>
        <family val="2"/>
      </rPr>
      <t>2</t>
    </r>
  </si>
  <si>
    <t>Zasip vodomernega jaška z gramoznim materialom graulacije 0 - 32 mm, z ročnim prenosom materiala V= do 3,00, H= do 20,00 m.</t>
  </si>
  <si>
    <t>Dobava in vgrajevanje betona na mestu zasutega vodomernega jaška, beton C25/30; debelina plošče, d= 15,00 cm, armiran z armaturno mrežo; ročni prenos materiala do mesta vgrajevanja, V= do 3,00 m; H= do 20,00 m.</t>
  </si>
  <si>
    <t>a.2.1</t>
  </si>
  <si>
    <r>
      <rPr>
        <b/>
        <sz val="11"/>
        <rFont val="Calibri"/>
        <family val="2"/>
      </rPr>
      <t>Karbonska vlakna za ojačitev prebojev v AB konstrukcijah:</t>
    </r>
    <r>
      <rPr>
        <sz val="11"/>
        <rFont val="Calibri"/>
        <family val="2"/>
      </rPr>
      <t xml:space="preserve">
Dobava in vgrajevanje karbonskih vlaken tip S512; kompletno z vsemi deli, pripravo podlage na AB ploščah in stenah s potrebnim brušenjem in vgrajevanjem po navodilih proizvajalca. V enotnih cenah morajo biti zajeta vsa pomožna dela, prenosi in transporti vsega materiala do mesta vgrajevanja.</t>
    </r>
  </si>
  <si>
    <t xml:space="preserve">a. </t>
  </si>
  <si>
    <t>plošče</t>
  </si>
  <si>
    <t>stene</t>
  </si>
  <si>
    <r>
      <t>m</t>
    </r>
    <r>
      <rPr>
        <b/>
        <vertAlign val="superscript"/>
        <sz val="11"/>
        <rFont val="Calibri"/>
        <family val="2"/>
      </rPr>
      <t>1</t>
    </r>
  </si>
  <si>
    <t>a.2.2</t>
  </si>
  <si>
    <t>a.2.3</t>
  </si>
  <si>
    <t>a.2.3-1</t>
  </si>
  <si>
    <t>a.2.2-1</t>
  </si>
  <si>
    <t>a.2.2-2</t>
  </si>
  <si>
    <t>a.2.4</t>
  </si>
  <si>
    <r>
      <rPr>
        <b/>
        <sz val="11"/>
        <rFont val="Calibri"/>
        <family val="2"/>
      </rPr>
      <t>AB stene dvigalnega jaška:</t>
    </r>
    <r>
      <rPr>
        <sz val="11"/>
        <rFont val="Calibri"/>
        <family val="2"/>
      </rPr>
      <t xml:space="preserve">
Dobava in vgrajevanje betona C25/30 prereza 0,20 m</t>
    </r>
    <r>
      <rPr>
        <vertAlign val="superscript"/>
        <sz val="11"/>
        <rFont val="Calibri"/>
        <family val="2"/>
      </rPr>
      <t>3</t>
    </r>
    <r>
      <rPr>
        <sz val="11"/>
        <rFont val="Calibri"/>
        <family val="2"/>
      </rPr>
      <t>/m</t>
    </r>
    <r>
      <rPr>
        <vertAlign val="superscript"/>
        <sz val="11"/>
        <rFont val="Calibri"/>
        <family val="2"/>
      </rPr>
      <t>2</t>
    </r>
    <r>
      <rPr>
        <sz val="11"/>
        <rFont val="Calibri"/>
        <family val="2"/>
      </rPr>
      <t>.</t>
    </r>
  </si>
  <si>
    <r>
      <rPr>
        <b/>
        <sz val="11"/>
        <rFont val="Calibri"/>
        <family val="2"/>
      </rPr>
      <t>Temeljna plošča dvigalnega jaška:</t>
    </r>
    <r>
      <rPr>
        <sz val="11"/>
        <rFont val="Calibri"/>
        <family val="2"/>
      </rPr>
      <t xml:space="preserve">
Dobava in vgrajevanje betona C25/30 v AB konstrukcijo talne plošče prereza nad 0,30 m</t>
    </r>
    <r>
      <rPr>
        <vertAlign val="superscript"/>
        <sz val="11"/>
        <rFont val="Calibri"/>
        <family val="2"/>
      </rPr>
      <t>3</t>
    </r>
    <r>
      <rPr>
        <sz val="11"/>
        <rFont val="Calibri"/>
        <family val="2"/>
      </rPr>
      <t>/m</t>
    </r>
    <r>
      <rPr>
        <vertAlign val="superscript"/>
        <sz val="11"/>
        <rFont val="Calibri"/>
        <family val="2"/>
      </rPr>
      <t>2</t>
    </r>
    <r>
      <rPr>
        <sz val="11"/>
        <rFont val="Calibri"/>
        <family val="2"/>
      </rPr>
      <t xml:space="preserve"> - vodotesen beton.</t>
    </r>
  </si>
  <si>
    <t>a.2.5</t>
  </si>
  <si>
    <t>a.2.6</t>
  </si>
  <si>
    <t>Dostavni plato:</t>
  </si>
  <si>
    <r>
      <t>Dobava in vgrajevanje podložnega betona C12/15; prereza 0,08 - 0,12 m</t>
    </r>
    <r>
      <rPr>
        <vertAlign val="superscript"/>
        <sz val="11"/>
        <rFont val="Calibri"/>
        <family val="2"/>
      </rPr>
      <t>3</t>
    </r>
    <r>
      <rPr>
        <sz val="11"/>
        <rFont val="Calibri"/>
        <family val="2"/>
      </rPr>
      <t>/m</t>
    </r>
    <r>
      <rPr>
        <vertAlign val="superscript"/>
        <sz val="11"/>
        <rFont val="Calibri"/>
        <family val="2"/>
      </rPr>
      <t>2</t>
    </r>
    <r>
      <rPr>
        <sz val="11"/>
        <rFont val="Calibri"/>
        <family val="2"/>
      </rPr>
      <t>.</t>
    </r>
  </si>
  <si>
    <r>
      <t>Dobava in vgrajevanje betona C25/30 v AB obodne temelje - beton zmrzlinsko odporen - prerez 0,12 - 0,20 m</t>
    </r>
    <r>
      <rPr>
        <vertAlign val="superscript"/>
        <sz val="11"/>
        <rFont val="Calibri"/>
        <family val="2"/>
      </rPr>
      <t>3</t>
    </r>
    <r>
      <rPr>
        <sz val="11"/>
        <rFont val="Calibri"/>
        <family val="2"/>
      </rPr>
      <t>/m</t>
    </r>
    <r>
      <rPr>
        <vertAlign val="superscript"/>
        <sz val="11"/>
        <rFont val="Calibri"/>
        <family val="2"/>
      </rPr>
      <t>1</t>
    </r>
    <r>
      <rPr>
        <sz val="11"/>
        <rFont val="Calibri"/>
        <family val="2"/>
      </rPr>
      <t>.</t>
    </r>
  </si>
  <si>
    <r>
      <t>Dobava in vgrajevanje betona C25/30 v AB talno ploščo - beton zmrzlinsko odporen, prereza 0,12 - 0,20 m</t>
    </r>
    <r>
      <rPr>
        <vertAlign val="superscript"/>
        <sz val="11"/>
        <rFont val="Calibri"/>
        <family val="2"/>
      </rPr>
      <t>3</t>
    </r>
    <r>
      <rPr>
        <sz val="11"/>
        <rFont val="Calibri"/>
        <family val="2"/>
      </rPr>
      <t>/m</t>
    </r>
    <r>
      <rPr>
        <vertAlign val="superscript"/>
        <sz val="11"/>
        <rFont val="Calibri"/>
        <family val="2"/>
      </rPr>
      <t>2</t>
    </r>
    <r>
      <rPr>
        <sz val="11"/>
        <rFont val="Calibri"/>
        <family val="2"/>
      </rPr>
      <t>.</t>
    </r>
  </si>
  <si>
    <t>a.2.7</t>
  </si>
  <si>
    <r>
      <t>Vgrajevanje betona v AB stebre C25/30 - prereza 0,04 - 0,08 m</t>
    </r>
    <r>
      <rPr>
        <vertAlign val="superscript"/>
        <sz val="11"/>
        <rFont val="Calibri"/>
        <family val="2"/>
      </rPr>
      <t>3</t>
    </r>
    <r>
      <rPr>
        <sz val="11"/>
        <rFont val="Calibri"/>
        <family val="2"/>
      </rPr>
      <t>/m</t>
    </r>
    <r>
      <rPr>
        <vertAlign val="superscript"/>
        <sz val="11"/>
        <rFont val="Calibri"/>
        <family val="2"/>
      </rPr>
      <t>1</t>
    </r>
    <r>
      <rPr>
        <sz val="11"/>
        <rFont val="Calibri"/>
        <family val="2"/>
      </rPr>
      <t xml:space="preserve"> z vsemi pomožnimi deli, prenosi in transporti do mesta vgrajevanja.</t>
    </r>
  </si>
  <si>
    <t>a.2.8</t>
  </si>
  <si>
    <r>
      <t>Zabetoniranje instalacijskih odprtin z betonom C25/30 s porabo betona do 0,04 m</t>
    </r>
    <r>
      <rPr>
        <vertAlign val="superscript"/>
        <sz val="11"/>
        <rFont val="Calibri"/>
        <family val="2"/>
      </rPr>
      <t>3</t>
    </r>
    <r>
      <rPr>
        <sz val="11"/>
        <rFont val="Calibri"/>
        <family val="2"/>
      </rPr>
      <t>/kom, z vsemi prenosi in transporti do mesta vgrajevanja.</t>
    </r>
  </si>
  <si>
    <t>a.2.9</t>
  </si>
  <si>
    <t>a.2.10</t>
  </si>
  <si>
    <r>
      <rPr>
        <b/>
        <sz val="11"/>
        <rFont val="Calibri"/>
        <family val="2"/>
      </rPr>
      <t>Zunanje vhodne stopnice:</t>
    </r>
    <r>
      <rPr>
        <sz val="11"/>
        <rFont val="Calibri"/>
        <family val="2"/>
      </rPr>
      <t xml:space="preserve">
Dobava in vgrajevanje betona C25/30 - beton zmrzlinsko odporen; AB konstrukcije prereza 0,20 m</t>
    </r>
    <r>
      <rPr>
        <vertAlign val="superscript"/>
        <sz val="11"/>
        <rFont val="Calibri"/>
        <family val="2"/>
      </rPr>
      <t>3</t>
    </r>
    <r>
      <rPr>
        <sz val="11"/>
        <rFont val="Calibri"/>
        <family val="2"/>
      </rPr>
      <t>/m</t>
    </r>
    <r>
      <rPr>
        <vertAlign val="superscript"/>
        <sz val="11"/>
        <rFont val="Calibri"/>
        <family val="2"/>
      </rPr>
      <t>2</t>
    </r>
    <r>
      <rPr>
        <sz val="11"/>
        <rFont val="Calibri"/>
        <family val="2"/>
      </rPr>
      <t>.</t>
    </r>
  </si>
  <si>
    <t>poševna rama</t>
  </si>
  <si>
    <r>
      <t>nastopne ploskve stopnic - prerez do 0,04 m</t>
    </r>
    <r>
      <rPr>
        <vertAlign val="superscript"/>
        <sz val="11"/>
        <rFont val="Calibri"/>
        <family val="2"/>
      </rPr>
      <t>3</t>
    </r>
    <r>
      <rPr>
        <sz val="11"/>
        <rFont val="Calibri"/>
        <family val="2"/>
      </rPr>
      <t>/m</t>
    </r>
    <r>
      <rPr>
        <vertAlign val="superscript"/>
        <sz val="11"/>
        <rFont val="Calibri"/>
        <family val="2"/>
      </rPr>
      <t>2</t>
    </r>
    <r>
      <rPr>
        <sz val="11"/>
        <rFont val="Calibri"/>
        <family val="2"/>
      </rPr>
      <t>.</t>
    </r>
  </si>
  <si>
    <t>zunanji hodnik - AB plošča, d= 15 cm.</t>
  </si>
  <si>
    <r>
      <t>Dobava in vgrajevanje podložnega betona C12/15 - prereza 0,08 - 0,12 m</t>
    </r>
    <r>
      <rPr>
        <vertAlign val="superscript"/>
        <sz val="11"/>
        <rFont val="Calibri"/>
        <family val="2"/>
      </rPr>
      <t>3</t>
    </r>
    <r>
      <rPr>
        <sz val="11"/>
        <rFont val="Calibri"/>
        <family val="2"/>
      </rPr>
      <t>/m</t>
    </r>
    <r>
      <rPr>
        <vertAlign val="superscript"/>
        <sz val="11"/>
        <rFont val="Calibri"/>
        <family val="2"/>
      </rPr>
      <t>2</t>
    </r>
    <r>
      <rPr>
        <sz val="11"/>
        <rFont val="Calibri"/>
        <family val="2"/>
      </rPr>
      <t xml:space="preserve"> - pod okni v kleti (svetlobnik). Vgrajevanje v naklonu 3% proti muldi. Izdelava po detajlu arhitekta.</t>
    </r>
  </si>
  <si>
    <t>a.2.10-1</t>
  </si>
  <si>
    <t>a.2.10-2</t>
  </si>
  <si>
    <r>
      <rPr>
        <b/>
        <sz val="11"/>
        <rFont val="Calibri"/>
        <family val="2"/>
      </rPr>
      <t>Tlak svetlobnika:</t>
    </r>
    <r>
      <rPr>
        <sz val="11"/>
        <rFont val="Calibri"/>
        <family val="2"/>
      </rPr>
      <t xml:space="preserve">
Dobava in polaganje kulir plošč, d= 4,00 cm_; 40 x 40 cm; polaganje v sloj cementne malte, d= 3,00 cm in fugiranjem stikov s fino cementno malto CM 1:2; fuge širine 10,00 mm; kompletno z vsemi pomožnimi deli, prenosi in transporti vsega materiala do mesta vgrajevanja. Tekstura po izboru arhitekta.</t>
    </r>
  </si>
  <si>
    <t>a.2.11</t>
  </si>
  <si>
    <r>
      <t xml:space="preserve">do </t>
    </r>
    <r>
      <rPr>
        <sz val="11"/>
        <rFont val="Calibri"/>
        <family val="2"/>
      </rPr>
      <t>Φ 12</t>
    </r>
  </si>
  <si>
    <r>
      <t xml:space="preserve">nad </t>
    </r>
    <r>
      <rPr>
        <sz val="11"/>
        <rFont val="Calibri"/>
        <family val="2"/>
      </rPr>
      <t>Φ 14</t>
    </r>
  </si>
  <si>
    <t>MAG</t>
  </si>
  <si>
    <t>a.3.1</t>
  </si>
  <si>
    <t>a.3.2</t>
  </si>
  <si>
    <t>a.3.3</t>
  </si>
  <si>
    <t>a.3.4</t>
  </si>
  <si>
    <t>a.3.5</t>
  </si>
  <si>
    <t>a.3.6</t>
  </si>
  <si>
    <t>a.3.7</t>
  </si>
  <si>
    <r>
      <t>Opaž AB plošče dvigalnega jaška z višino podpiranja do h= 3,00 m, d</t>
    </r>
    <r>
      <rPr>
        <vertAlign val="subscript"/>
        <sz val="11"/>
        <rFont val="Calibri"/>
        <family val="2"/>
      </rPr>
      <t>p</t>
    </r>
    <r>
      <rPr>
        <sz val="11"/>
        <rFont val="Calibri"/>
        <family val="2"/>
      </rPr>
      <t>= 20,00 cm, ostalo enako kot postavka a.3.1.</t>
    </r>
  </si>
  <si>
    <t>Opaž AB čela - plošča dvigalnega jaška; h= 20,00 cm.</t>
  </si>
  <si>
    <t>Montaža in demontaža odra v dvigalnem jašku.</t>
  </si>
  <si>
    <t>Opaž AB obodnih pasovnih temeljev dostopnega platoja; višine 50 cm, d= 20,00 cm.</t>
  </si>
  <si>
    <t>Opaž čela AB talne plošče vhodnega platoja višine 20 cm.</t>
  </si>
  <si>
    <t>a.3.8</t>
  </si>
  <si>
    <t>a.3.9</t>
  </si>
  <si>
    <t>a.3.10</t>
  </si>
  <si>
    <t>a.3.11</t>
  </si>
  <si>
    <t>čela AB stopnic višine do 20,00 cm.</t>
  </si>
  <si>
    <t>a.3.2-1</t>
  </si>
  <si>
    <t>Dvostranski opaž AB temeljev novih opornih zidov - višina opaževanja do h= 100,00 cm; z montažo in demontažo ter vsemi pomožnimi deli in prenosi vsega potrebnega materiala do mesta montaže.</t>
  </si>
  <si>
    <t>a.3.2-2</t>
  </si>
  <si>
    <t>Dvostranski opaž novih opornih zidov z višino podpiranja, h= do 3,00 m.</t>
  </si>
  <si>
    <t>stranske ploskve poševne rame s trikotnimi izrezi.</t>
  </si>
  <si>
    <t>a.4.1</t>
  </si>
  <si>
    <t>a.4.2</t>
  </si>
  <si>
    <t>a.4.3</t>
  </si>
  <si>
    <t>a.4.4</t>
  </si>
  <si>
    <t>a.4.5</t>
  </si>
  <si>
    <t>a.4.6</t>
  </si>
  <si>
    <t>a.4.7</t>
  </si>
  <si>
    <t>a.4.7-1</t>
  </si>
  <si>
    <t>Enako kot postavka a.4.7.; le ostale stene v etažah.</t>
  </si>
  <si>
    <t>a.4.8</t>
  </si>
  <si>
    <r>
      <t>Toplotna izolacija sten v kleti, d= 10,00 cm - shrambe; kamena volna "HERAKLIT"; vijačena v obstoječo steno - 5 sidr/m</t>
    </r>
    <r>
      <rPr>
        <vertAlign val="superscript"/>
        <sz val="11"/>
        <rFont val="Calibri"/>
        <family val="2"/>
      </rPr>
      <t>2</t>
    </r>
    <r>
      <rPr>
        <sz val="11"/>
        <rFont val="Calibri"/>
        <family val="2"/>
      </rPr>
      <t xml:space="preserve"> (nerjaveča sidra), z vsemi pomožnimi deli, prenosi in transporti do mesta vgrajevanja.</t>
    </r>
  </si>
  <si>
    <t>shrambe v kleti (stenska ologa):</t>
  </si>
  <si>
    <t>toplotna postaja (stene):</t>
  </si>
  <si>
    <t>obloga stropa - klet shrambe in obloga stropa v toplotni postaji.</t>
  </si>
  <si>
    <t>a.4.9</t>
  </si>
  <si>
    <t>Grobi in fini omet opečnih sten z grobo in fino malto PCM 1:2:6; vključno z napravo grobe in fine malte; predhodnim cementnim obrizgom površin s fino cementno malto CM 1:2; vsemi pomožnimi deli, prenosi in transporti vsega materiala do mesta vgrajevanja.</t>
  </si>
  <si>
    <t>a.4.10</t>
  </si>
  <si>
    <t>Vzidava INOX trakov dim 50/3 mm, za dilatacijo med različnimi tlaki.</t>
  </si>
  <si>
    <t>a.4.11</t>
  </si>
  <si>
    <t>utori dim 3 x 3 cm.</t>
  </si>
  <si>
    <t>utori dim 6 x 3 cm.</t>
  </si>
  <si>
    <t>a.4.12</t>
  </si>
  <si>
    <t>Grobo in fino čiščenje vseh površin med gradnjo in pred primopredajo del.</t>
  </si>
  <si>
    <t>a.4.13</t>
  </si>
  <si>
    <t>a.4.14</t>
  </si>
  <si>
    <t>a.4.15</t>
  </si>
  <si>
    <t>a.4.16</t>
  </si>
  <si>
    <t>a.4.3-1</t>
  </si>
  <si>
    <r>
      <rPr>
        <b/>
        <sz val="11"/>
        <rFont val="Calibri"/>
        <family val="2"/>
      </rPr>
      <t>Vertikalna izolacija:</t>
    </r>
    <r>
      <rPr>
        <sz val="11"/>
        <rFont val="Calibri"/>
        <family val="2"/>
      </rPr>
      <t xml:space="preserve">
Kompletna izdelava vertikalne H.I. s predhodnim čiščenjem površine (pred nanosom hidroizolacijskih slojev):
- hladni bitumenski premaz s porabo 0,30 kg/m</t>
    </r>
    <r>
      <rPr>
        <vertAlign val="superscript"/>
        <sz val="11"/>
        <rFont val="Calibri"/>
        <family val="2"/>
      </rPr>
      <t>2</t>
    </r>
    <r>
      <rPr>
        <sz val="11"/>
        <rFont val="Calibri"/>
        <family val="2"/>
      </rPr>
      <t xml:space="preserve"> - premaz obstoječe AB plošče s predhodnim čiščenjem površin
- dobava in vgrajevanje H.I. polimer bitumenska izolacija, enoslojna (aPP) po zahtevah DIN 18195 (del5), kakovost materiala po DIN 52133, npr.: SCUDOPLAST FCTR 180/4 TOP ali enakovredno.
- toplotna izolacija XPS, d= 10,00 cm; lepljen na vertikalno hidroizolacijo
- čepkasta folija</t>
    </r>
  </si>
  <si>
    <t>Dobava in vgrajevanje toplotne izolacije XPS, d= 14,00 cm v dvigalnem jašku - T.I. lepljena na steno.</t>
  </si>
  <si>
    <t>a.4.17</t>
  </si>
  <si>
    <r>
      <t>vgrajevanje betona - prerez 0,04 - 0,08 m</t>
    </r>
    <r>
      <rPr>
        <vertAlign val="superscript"/>
        <sz val="11"/>
        <rFont val="Calibri"/>
        <family val="2"/>
      </rPr>
      <t>3</t>
    </r>
    <r>
      <rPr>
        <sz val="11"/>
        <rFont val="Calibri"/>
        <family val="2"/>
      </rPr>
      <t>/m</t>
    </r>
    <r>
      <rPr>
        <vertAlign val="superscript"/>
        <sz val="11"/>
        <rFont val="Calibri"/>
        <family val="2"/>
      </rPr>
      <t>2</t>
    </r>
  </si>
  <si>
    <t>opaž - montaža in demontaža.</t>
  </si>
  <si>
    <r>
      <t xml:space="preserve">armatura </t>
    </r>
    <r>
      <rPr>
        <sz val="11"/>
        <rFont val="Calibri"/>
        <family val="2"/>
      </rPr>
      <t>Φ 12 mm.</t>
    </r>
  </si>
  <si>
    <t>a.5.1</t>
  </si>
  <si>
    <t>a.5.2</t>
  </si>
  <si>
    <r>
      <rPr>
        <b/>
        <sz val="11"/>
        <rFont val="Calibri"/>
        <family val="2"/>
      </rPr>
      <t>Medetažne konstrukcije (bivalni prostori, kuhinja, hodniki) - cementni estrih pod parketom:</t>
    </r>
    <r>
      <rPr>
        <sz val="11"/>
        <rFont val="Calibri"/>
        <family val="2"/>
      </rPr>
      <t xml:space="preserve">
Kompletna izdelava tlaka v sestavi:
- mikroarmiran cementni estrih, d= 6,50 cm MB 20
- ločilni sloj; PE folija, d= 0,15 mm
- toplotna in akustična izoalcija, d= 2,00 cm; dobava in polaganje kamene volne SIST EN 13162 (</t>
    </r>
    <r>
      <rPr>
        <sz val="11"/>
        <rFont val="Calibri"/>
        <family val="2"/>
      </rPr>
      <t>λR= 0,037 W/(m.K); ρ= 105 kg/m</t>
    </r>
    <r>
      <rPr>
        <vertAlign val="superscript"/>
        <sz val="11"/>
        <rFont val="Calibri"/>
        <family val="2"/>
      </rPr>
      <t>3</t>
    </r>
    <r>
      <rPr>
        <sz val="11"/>
        <rFont val="Calibri"/>
        <family val="2"/>
      </rPr>
      <t>, npr.: KNAUF INSULATION TP ali enakovredno (polaganje na obstoječo stropno konstrukcijo).</t>
    </r>
  </si>
  <si>
    <t>a.5.3</t>
  </si>
  <si>
    <t>OP.: v območju, kjer se ohranja višina tlakov (prostor pred dvigalom in do konca klančine) se za akustično izolacijo vgradi, npr.. GEFICELL TDZ 6-1 ali enakovredno.</t>
  </si>
  <si>
    <t>a.5.4</t>
  </si>
  <si>
    <t>a.5.5</t>
  </si>
  <si>
    <r>
      <rPr>
        <b/>
        <sz val="11"/>
        <rFont val="Calibri"/>
        <family val="2"/>
      </rPr>
      <t>Tla na terenu (stanovanja) cementni estrih pod parketom (klet):</t>
    </r>
    <r>
      <rPr>
        <sz val="11"/>
        <rFont val="Calibri"/>
        <family val="2"/>
      </rPr>
      <t xml:space="preserve">
Kompletna izdelava tlaka v sestavi:
- mikroarmiran cementni estrih, d= 5,00 - 9,00 cm MB 20
- ločilni sloj; PE folija, d= 0,15 mm
- toplotna in akustična izoalcija, d= 2,00 cm; dobava in polaganje kamene volne SIST EN 13162 (</t>
    </r>
    <r>
      <rPr>
        <sz val="11"/>
        <rFont val="Calibri"/>
        <family val="2"/>
      </rPr>
      <t>λR= 0,036 W/(m.K); kamena volna, d= 10,00 cm; SIST EN 13162, npr.: KNAUF INSULATION Polyfoam C-350 LJ ali enakovredno.</t>
    </r>
  </si>
  <si>
    <r>
      <rPr>
        <b/>
        <sz val="11"/>
        <rFont val="Calibri"/>
        <family val="2"/>
      </rPr>
      <t>Tla na terenu (stanovanja) cementni estrih pod parketom (klet):</t>
    </r>
    <r>
      <rPr>
        <sz val="11"/>
        <rFont val="Calibri"/>
        <family val="2"/>
      </rPr>
      <t xml:space="preserve">
Kompletna izdelava tlaka v sestavi:
- mikroarmiran cementni estrih, d= 4,00 - 8,00 cm MB 20
- ločilni sloj; PE folija, d= 0,15 mm
- toplotna in akustična izoalcija, d= 2,00 cm; dobava in polaganje kamene volne SIST EN 13162 (</t>
    </r>
    <r>
      <rPr>
        <sz val="11"/>
        <rFont val="Calibri"/>
        <family val="2"/>
      </rPr>
      <t>λR= 0,036 W/(m.K); kamena volna, d= 10,00 cm; SIST EN 13162, npr.: KNAUF INSULATION Polyfoam C-350 LJ ali enakovredno.</t>
    </r>
  </si>
  <si>
    <t>a.5.6</t>
  </si>
  <si>
    <t>a.5.7</t>
  </si>
  <si>
    <r>
      <rPr>
        <b/>
        <sz val="11"/>
        <rFont val="Calibri"/>
        <family val="2"/>
      </rPr>
      <t>Balkoni - II. in III. ND - cementni estrih pod keramiko:</t>
    </r>
    <r>
      <rPr>
        <sz val="11"/>
        <rFont val="Calibri"/>
        <family val="2"/>
      </rPr>
      <t xml:space="preserve">
Kompletna izdelava tlaka v sestavi:
- mikroarmiran cementni estrih, d= 4,00 - 6,00 cm MB 20, izdelan v naklonu
- ločilni sloj (položen na hidroizolacijo); PE folija, d= 0,15 mm</t>
    </r>
  </si>
  <si>
    <t>a.6.1</t>
  </si>
  <si>
    <t>Fasada:
Kompletna izdelava fasadne obloge v sestavi:</t>
  </si>
  <si>
    <t>a.6.2</t>
  </si>
  <si>
    <t>Enako kot postavka a.6.1.; le fasada dvigalnega jaška.</t>
  </si>
  <si>
    <t>a.6.3</t>
  </si>
  <si>
    <t>Obloga instalacijskih jaškov nad koto +13,72; opis enak kot pod točko a.6.1.; le toplotna izolacija, d= 10,00 cm.</t>
  </si>
  <si>
    <t>a.6.4</t>
  </si>
  <si>
    <t>Popravilo obstoječega ometa z grobo in fino malto PCM 1:2:6 - ocena - obračun po dejansko ugotovljenih količinah na licu mesta.</t>
  </si>
  <si>
    <t>a.6.5</t>
  </si>
  <si>
    <t>a.6.6</t>
  </si>
  <si>
    <r>
      <rPr>
        <b/>
        <sz val="11"/>
        <rFont val="Calibri"/>
        <family val="2"/>
      </rPr>
      <t>Stena predprostora (klet - med objektom in zakloniščem):</t>
    </r>
    <r>
      <rPr>
        <sz val="11"/>
        <rFont val="Calibri"/>
        <family val="2"/>
      </rPr>
      <t xml:space="preserve">
Kompletna izdelava stene v sestavi:
- zaključni fasadni praskani omet
- dobava in vgrajevanje cementnih plošč za zunanjo uporabo tip, npr.: "AQUAPANEL", sidranje - pritrjevanje na jekleno podkonstrukcijo - plošče na zunanji strani
- cementne plošče za zunanjo uporabo, npr.: "AQUAPANEL"; ostalo enako kot točko prej
- izravnava in finalni oplesk v tonu po izboru arhitekta.
V enotni ceni morajo biti zajeta vsa pomožna dela, prenosi in transporti vsega potrebnega materiala do mesta vgrajevanja ter vsi potrebni delovni odri, h= do 3,00 m za montažo.</t>
    </r>
  </si>
  <si>
    <t>a.6.7</t>
  </si>
  <si>
    <t>a.6.8</t>
  </si>
  <si>
    <t>Zaključna ALU pločevina, d= 0,60 mm; zaključek na spodnji strani. ALU pločevina r.š.= do 25 cm; izdelava, dobava in montaža, z vsem tesnilnim in pritrdilnim materialom, vsemi pomožnimi deli, prenosi in transporti vsega potrebnega materiala do mesta vgrajevanja. ALU pločevina v tonu po izboru arhitekta.</t>
  </si>
  <si>
    <r>
      <rPr>
        <b/>
        <sz val="11"/>
        <rFont val="Calibri"/>
        <family val="2"/>
      </rPr>
      <t>Obdelava stropa - nadstrešek med objektom in zakloniščem:</t>
    </r>
    <r>
      <rPr>
        <sz val="11"/>
        <rFont val="Calibri"/>
        <family val="2"/>
      </rPr>
      <t xml:space="preserve">
Kompletna izdelava v sestavi:
- dobava in vgrajevanje cementnih plošč za zunanjo uporabo, npr.: "AQUAPANEL" ali podobno, pritrjene v Fe podkonstrukcijo
- izravnava površin in finalni oplesk v tonu po izboru arhitekta
OP.: v ceni zajeta vsa pomožna dela, prenosi in transporti do mesta vgrajevanja ter vsi pomožni delovni odri za delo na višini.</t>
    </r>
  </si>
  <si>
    <t>a.6.9</t>
  </si>
  <si>
    <t>a.6.9-1</t>
  </si>
  <si>
    <t>POZ - OGRAJA 1</t>
  </si>
  <si>
    <t xml:space="preserve">b. </t>
  </si>
  <si>
    <t>POZ - OGRAJA 2</t>
  </si>
  <si>
    <t>POZ - OGRAJA 3</t>
  </si>
  <si>
    <t>Izdelava in dobava INOX profilov dim 50/5 mm za dilatacijo med različnimi tlaki (vzidava zajeta v zidarskih delih). Profili imajo sidra za vbetoniranje v tlak. Mere kontrolirati na mestu samem.</t>
  </si>
  <si>
    <t>jekleni profili IPE 120</t>
  </si>
  <si>
    <t>jekleni profili UNP 120</t>
  </si>
  <si>
    <t>jekleni profili dim 80/80/5 mm</t>
  </si>
  <si>
    <t>horizontalni leseni elementi širine cca 10,00 cm.</t>
  </si>
  <si>
    <r>
      <t>Fe elementi (m</t>
    </r>
    <r>
      <rPr>
        <vertAlign val="superscript"/>
        <sz val="11"/>
        <rFont val="Calibri"/>
        <family val="2"/>
      </rPr>
      <t>1</t>
    </r>
    <r>
      <rPr>
        <sz val="11"/>
        <rFont val="Calibri"/>
        <family val="2"/>
      </rPr>
      <t>) - dim cca 50/50 mm.</t>
    </r>
  </si>
  <si>
    <t>Enako kot postavka b.2.4.; le balkonske ograje:</t>
  </si>
  <si>
    <t>horizontalni leseni elementi širine 10,00 cm</t>
  </si>
  <si>
    <t>b.2.7</t>
  </si>
  <si>
    <t>b.2.8</t>
  </si>
  <si>
    <t>b.2.9</t>
  </si>
  <si>
    <t>b.4.1</t>
  </si>
  <si>
    <t>b.4.2</t>
  </si>
  <si>
    <r>
      <rPr>
        <b/>
        <sz val="11"/>
        <rFont val="Calibri"/>
        <family val="2"/>
      </rPr>
      <t>Mavčno kartonske stene, d= 10,00 cm (POZ K1):</t>
    </r>
    <r>
      <rPr>
        <sz val="11"/>
        <rFont val="Calibri"/>
        <family val="2"/>
      </rPr>
      <t xml:space="preserve">
Kompletna izdelava stene v sestavi:
- obloga: 2x MK plošče, d= 2x1,25 cm, npr.: KNAUF GKB; stiki med ploščami so bandažirani v kvaliteti K2 - površine pripravljene za finalno slikopleskarsko obdelavo
- kovinska pocinkana podkonstruckija C profili po sistemu, npr.: KNAUF ali podobno, sidrani v AB talno in stropno konstrukcijo, d= 5,00 cm
- T.I., npr.: KNAUF INSULATION TI 140W, d= 5,00 cm
- obloga: 2x MK plošče, d= 2x1,25 cm, npr.: KNAUF GKB; stiki med ploščami so bandažirani v kvaliteti K2 - površine pripravljene za finalno slikopleskarsko obdelavo.</t>
    </r>
  </si>
  <si>
    <r>
      <rPr>
        <b/>
        <sz val="11"/>
        <rFont val="Calibri"/>
        <family val="2"/>
      </rPr>
      <t>Mavčno kartonska stene, d= 12,50 cm (POZ K8):</t>
    </r>
    <r>
      <rPr>
        <sz val="11"/>
        <rFont val="Calibri"/>
        <family val="2"/>
      </rPr>
      <t xml:space="preserve">
Kompletna izdelava MK predelne stene - kopalnice in sanitarije stene v sestavi:
- obloga: 2x MK plošče, d= 2x1,25 cm, npr.: KNAUF GKB; stiki med ploščami so bandažirani v kvaliteti K2 - površine pripravljene za finalno slikopleskarsko obdelavo
- podkonstrukcija iz pocinkanih C profilov, d= 7,50 cm po sistemu, npr.: KNAUF, sidrani v AB konstrukcijo (strop in tla)
- T.I., npr.: KNAUF INSULATION 140W. d= 7,50 cm
- vodoodporne MK plošče, d= 2x1,25 cm; stiki bandažirani v kvaliteti K2.</t>
    </r>
  </si>
  <si>
    <t>b.4.3</t>
  </si>
  <si>
    <r>
      <t>Ojačitveni profili za montažo vrat po sistemu, npr.: KNAUF ali podobno (vrata velikosti do 2,00 m</t>
    </r>
    <r>
      <rPr>
        <vertAlign val="superscript"/>
        <sz val="11"/>
        <rFont val="Calibri"/>
        <family val="2"/>
      </rPr>
      <t>2</t>
    </r>
    <r>
      <rPr>
        <sz val="11"/>
        <rFont val="Calibri"/>
        <family val="2"/>
      </rPr>
      <t>/kom).</t>
    </r>
  </si>
  <si>
    <t>profili v stenah, d= 10,00 cm.</t>
  </si>
  <si>
    <t>profili v stenah, d= 12,50 cm.</t>
  </si>
  <si>
    <t>b.4.4</t>
  </si>
  <si>
    <r>
      <t>doplačilo za vgradnjo okvirja za drsna vrata (okvir dobavi izvajalec notranjih vrat). Vrata velikosti do 2,00 m</t>
    </r>
    <r>
      <rPr>
        <vertAlign val="superscript"/>
        <sz val="11"/>
        <rFont val="Calibri"/>
        <family val="2"/>
      </rPr>
      <t>2</t>
    </r>
    <r>
      <rPr>
        <sz val="11"/>
        <rFont val="Calibri"/>
        <family val="2"/>
      </rPr>
      <t>/kom.</t>
    </r>
  </si>
  <si>
    <t>Ojačitveni profili na izpostavljenih vogalih predelnih sten in oblog po sistemu, npr.: KNAUF ali podobno.</t>
  </si>
  <si>
    <t>b.4.5</t>
  </si>
  <si>
    <r>
      <rPr>
        <b/>
        <sz val="11"/>
        <rFont val="Calibri"/>
        <family val="2"/>
      </rPr>
      <t>Mavčno kartonska obloga, d= 7,50 cm (POZ K8):</t>
    </r>
    <r>
      <rPr>
        <sz val="11"/>
        <rFont val="Calibri"/>
        <family val="2"/>
      </rPr>
      <t xml:space="preserve">
Kompletna izvedba obloge v sestavi - obloga obstoječih sten:
- obloga: 2x MK plošče, d= 2x1,25 cm, npr.: KNAUF ali podobno; stiki med ploščami so bandažirani v kvaliteti K2
- podkonstrukcija iz pocinkanih C profilov, d= 3,00 cm, sidrana v obstoječo steno, po sistemu, npr.: KNAUF ali podobno, profili U30, 100 cm od stene
- T.I. med profili, npr.: KNAUF INSULATION 140W. d= 5,00 cm</t>
    </r>
  </si>
  <si>
    <t>b.4.6</t>
  </si>
  <si>
    <t>Enako kot postavka b.4.2.; MK obloga obstoječih sten (K8) - kopalnica; obloga v sestavi (obloga se izvede do višine 110 cm - zgornja površina zaključena kot polička. Vsi stiki med ploščami so bandažirani v kvaliteti K2:
- podkonstrukcija iz pocinkanih C profilov, d= 7,50 cm po sistemu, npr.: KNAUF, sidrani v AB konstrukcijo (strop in tla)
- T.I., npr.: KNAUF INSULATION 140W. d= 7,50 cm
- vodoodporne MK plošče, d= 2x1,25 cm; stiki bandažirani v kvaliteti K2.</t>
  </si>
  <si>
    <t>b.4.6-1</t>
  </si>
  <si>
    <t>Ojačitveni horizontalni profili pri izvedbi obloge pod postavko b.4.2.; tipski kotni profili, npr.: KNAUF ali podobno.</t>
  </si>
  <si>
    <t>b.4.7</t>
  </si>
  <si>
    <r>
      <rPr>
        <b/>
        <sz val="11"/>
        <rFont val="Calibri"/>
        <family val="2"/>
      </rPr>
      <t xml:space="preserve">Protipožarna mavčno kartonska stena EI60, d= 25,00 cm (K5); </t>
    </r>
    <r>
      <rPr>
        <sz val="11"/>
        <rFont val="Calibri"/>
        <family val="2"/>
      </rPr>
      <t>Kompletna izvedba v sestavi:
- obloga: 2x MK plošče, d= 2x1,25 cm, npr.: KNAUF GKF 1, 1,25; stiki med ploščami so bandažirani v kvaliteti K2
- kovinska pocinkana podkonstrukcija, d= 2x10=20,00 cm
- T.I., npr.: KNAUF INSULATION 140W. d= 20,00 cm
- obloga: 2x MK plošče, d= 2x1,25 cm, npr.: KNAUF GKF 1, 1,25; stiki med ploščami so bandažirani v kvaliteti K2</t>
    </r>
  </si>
  <si>
    <t>b.4.8</t>
  </si>
  <si>
    <t>Protipožarna obloga podstrešja - dobava in vgrajevanje protipožarnih plošč PROMAT (EI60) v pasu 50 cm; plošče so vijačene v strešne letve.</t>
  </si>
  <si>
    <t>b.4.9</t>
  </si>
  <si>
    <t>b.4.10</t>
  </si>
  <si>
    <r>
      <rPr>
        <b/>
        <sz val="11"/>
        <rFont val="Calibri"/>
        <family val="2"/>
      </rPr>
      <t>Mavčno kartonska obloga instalacijskega jaška (K6), obloga v sestavi:</t>
    </r>
    <r>
      <rPr>
        <sz val="11"/>
        <rFont val="Calibri"/>
        <family val="2"/>
      </rPr>
      <t xml:space="preserve">
- obloga: 2x MK plošče, d= 2x1,25 cm, npr.: KNAUF GKB, 1,25 ali podobno; 
- podkonstrukcija iz pocinkanih profilov, npr.: KNAUF ali podobno, d= 10,00
- T.I., npr.: KNAUF INSULATION 140W. d= 18,00 cm.</t>
    </r>
  </si>
  <si>
    <r>
      <rPr>
        <b/>
        <sz val="11"/>
        <rFont val="Calibri"/>
        <family val="2"/>
      </rPr>
      <t>Protipožarna obloga instalacijskega jaška (EI60); obloga v sestavi:</t>
    </r>
    <r>
      <rPr>
        <sz val="11"/>
        <rFont val="Calibri"/>
        <family val="2"/>
      </rPr>
      <t xml:space="preserve">
- MK plošče, d= 2x1,25=2,50 cm; stiki bandažirani v kvaliteti K2
- kovinska pocinkana podkonstrukcija in toplotna izolacija - kamena volna, d= 5,00 cm.</t>
    </r>
  </si>
  <si>
    <t>b.4.11</t>
  </si>
  <si>
    <t>b.4.12</t>
  </si>
  <si>
    <r>
      <rPr>
        <b/>
        <sz val="11"/>
        <rFont val="Calibri"/>
        <family val="2"/>
      </rPr>
      <t>Mavčno kartonska obloga (K4 v vetrolovu - pritličje) - obloga v sestavi:</t>
    </r>
    <r>
      <rPr>
        <sz val="11"/>
        <rFont val="Calibri"/>
        <family val="2"/>
      </rPr>
      <t xml:space="preserve">
 obloga: 2x MK plošče, d= 2x1,25 cm, stiki med ploščami so bandažirani v kvaliteti K2
- podkonstrukcija iz pocinkane pločevine, npr.: KNAUF profil C100 - odmik od stene 5,00 cm, d= 10,00 cm
- T.I., npr.: KNAUF INSULATION 140W, d= 15,00 cm.</t>
    </r>
  </si>
  <si>
    <t>Obdelava dilatacije med SIGMA elementi in obstoječo steno:
Kompletna obdelava v sestavi:</t>
  </si>
  <si>
    <t>Dobava in vgrajevanje T.I. - kamena volna, d= 10,00 cm, lepljena na steno po navodilih proizvajalca - pred vgradnjo SIGMA elementov (vertikalna obloga v širini 65 cm)</t>
  </si>
  <si>
    <t>Stranske zapore T.I. v širini 10,00 cm; z dobavo in vgrajevanjem MK plošče, d= 1,25 cm na kovinski podkonstrukciji. Zapora se izvede v ravnini sigma elementa.</t>
  </si>
  <si>
    <t>b.4.13</t>
  </si>
  <si>
    <r>
      <rPr>
        <b/>
        <sz val="11"/>
        <rFont val="Calibri"/>
        <family val="2"/>
      </rPr>
      <t>Protipožarna MK stena, d= 10,00 cm (K7 - II in III. ND) EI60:</t>
    </r>
    <r>
      <rPr>
        <sz val="11"/>
        <rFont val="Calibri"/>
        <family val="2"/>
      </rPr>
      <t xml:space="preserve">
Kompletna izvedba stene v sestavi:
- obloga: 2x MK plošče, d= 2x1,25 cm, stiki med ploščami so bandažirani v kvaliteti K2
- podkonstrukcija iz pocinkane pločevine, npr.: KNAUF ali podobno, d= 5,00 cm
- obloga: 2x MK plošče, d= 2x1,25 cm, stiki med ploščami so bandažirani v kvaliteti K2</t>
    </r>
  </si>
  <si>
    <t>b.1.1</t>
  </si>
  <si>
    <r>
      <rPr>
        <b/>
        <sz val="11"/>
        <rFont val="Calibri"/>
        <family val="2"/>
      </rPr>
      <t>Strešna konstrukcija - nadstrešek med objektom in zakloniščem:</t>
    </r>
    <r>
      <rPr>
        <sz val="11"/>
        <rFont val="Calibri"/>
        <family val="2"/>
      </rPr>
      <t xml:space="preserve">
Kompletna izdelava slojev strehe v sestavi (izdelava po detajlu arhitekta):
- dobava in vgrajevanje OSB plošče, d= 2,20 cm, pritrjevanje/sidranje v jekleno podkonstrukcijo
- dobava in vgrajevanje T.I. - kamena volna, d= 3,00 cm
- finalna kritina, npr.: SIKA PLAN 18 G (mehansko pritrjena), d= 1,80 mm, vključno z vertikalnim zaključkom na stiku z objektom in AB zidom zaklonišča; vgrajevanje po navodilih proizvajalca.
Vse mere kontrolirati na mestu samem pred izdelavo in montažo.</t>
    </r>
  </si>
  <si>
    <t>b.1.1-1</t>
  </si>
  <si>
    <t>Zaključna ALU pločevina na strehi nadstreška med objektom in zakloniščem:
ALU pločevina r.š.= do 30,00 cm, d= 0,60 mm; stik s fasado na objektu tesnjen s TIO kitom; ostalo enako.</t>
  </si>
  <si>
    <t>b.1.1-2</t>
  </si>
  <si>
    <t>Zaključna ALU pločevina, d= 0,60 mm; previsni del strehe nadstreška med objektom in zakloniščem (glej detajl arhitekta). ALU pločevina r.š.= do 60,00 cm; barva v tonu po izboru arhitekta.</t>
  </si>
  <si>
    <t>b.1.1-3</t>
  </si>
  <si>
    <t>b.1.1-4</t>
  </si>
  <si>
    <t>b.1.1-5</t>
  </si>
  <si>
    <r>
      <rPr>
        <b/>
        <sz val="11"/>
        <rFont val="Calibri"/>
        <family val="2"/>
      </rPr>
      <t xml:space="preserve">ALU žleb: </t>
    </r>
    <r>
      <rPr>
        <sz val="11"/>
        <rFont val="Calibri"/>
        <family val="2"/>
      </rPr>
      <t>r.š.= do 35,00 cm, vključno z vsem tesnilnim in pritrdilnim materialom in podkonstrukcijo, nosilci pritrjeni na OSB ploščo.</t>
    </r>
  </si>
  <si>
    <r>
      <t xml:space="preserve">Vertikalni odtočni žleb </t>
    </r>
    <r>
      <rPr>
        <sz val="11"/>
        <rFont val="Calibri"/>
        <family val="2"/>
      </rPr>
      <t>Φ 10 cm iz ALU pločevine, d= 0,60 mm z vsem tesnilnim in pritrdilnim materialom.</t>
    </r>
  </si>
  <si>
    <r>
      <rPr>
        <b/>
        <sz val="11"/>
        <rFont val="Calibri"/>
        <family val="2"/>
      </rPr>
      <t>Zaključna ALU pločevina na cvetličnem koritu (zid nad zakloniščem):</t>
    </r>
    <r>
      <rPr>
        <sz val="11"/>
        <rFont val="Calibri"/>
        <family val="2"/>
      </rPr>
      <t xml:space="preserve">
Izdelava, dobava in montaža ALU pločevine, r.š.= 65 cm, d= 0,60 mm; montaža na AB konstrukcijo cvetličnega korita. V ceni upoštevati vsa pomožna dela, tesnilni in pritrdilni material, potrebno podkonstrukcijo, vse prenose in transporte do mesta montaže. Vse mere kontrolirati na mestu samem pred izdelavo in montažo.</t>
    </r>
  </si>
  <si>
    <t>b.1.1-6</t>
  </si>
  <si>
    <t>b.1.1-7</t>
  </si>
  <si>
    <t>b.1.1-8</t>
  </si>
  <si>
    <r>
      <t xml:space="preserve">Izdelava odtokov iz cvetličnega korita; z dobavo in vgrajevanjem odtoka iz ALU pločevine </t>
    </r>
    <r>
      <rPr>
        <sz val="11"/>
        <rFont val="Calibri"/>
        <family val="2"/>
      </rPr>
      <t>Φ 50 mm, vključno z vrtanjem luknje v AB steno cvetličnega korita, tesnjenjem stika med odtokom in oblogo z ALU pločevino; odtok dolžine cca 10,00 cm z mrežico proti mrčesu; ostalo enako.</t>
    </r>
  </si>
  <si>
    <t>Izdelava, dobava in montaža žlebnih kotličkov - spoj horizontalnih in vertikalnih odtočnih žlebov z vsem tesnilnim in pritrdilnim materialom, ostalo enako.</t>
  </si>
  <si>
    <r>
      <t xml:space="preserve">izdelava, dobava in montaža ALU kolena </t>
    </r>
    <r>
      <rPr>
        <sz val="11"/>
        <rFont val="Calibri"/>
        <family val="2"/>
      </rPr>
      <t>Φ 10 cm/90°; ALU pločevina d= 0,60 mm, priključek vertikalnih odtočnih cevi na peskolove; z vsem tesnilnim in pritrdilnim materialom; ostalo enako.</t>
    </r>
  </si>
  <si>
    <t>b.1.2</t>
  </si>
  <si>
    <t>Demontaža obstoječe strešne kritine (salonitne plošče) na mestu prehodov instalacijskih jaškov. Iznos na gradbiščno deponijo in odvoz v stalno deponijo oddaljeno do 10,00 km, z vsemi pomožnimi deli in stroški na stalni deponiji.</t>
  </si>
  <si>
    <t>b.1.3</t>
  </si>
  <si>
    <t>ALU obrobe na strehi na mestih instalacijskih prehodov; ALU pločevina r.š.= do 30,00 cm; d= 0,60 mm; z vsem tesnilnim in pritrdilnim materialom. Vse mere kontrolirati na mestu samem pred izdelavo in montažo.</t>
  </si>
  <si>
    <t>ALU obroba.</t>
  </si>
  <si>
    <t>Lesena podkonstrukcija iz OSB plošč, d= 2,20 cm kot podlaga za ALU obrobo; OSB plošče pritrjene v lesene strešne elemente. Vse mere kontrolirati na mestu samem pred izdelavo in montažo. V obračunu podana skupna kvadratura. Posamezne dimenzije mora izvajalec kontrolirati na mestu samem, r.š.= lesene obloge do 50 cm; z vsemi prenosi in transporti vsega materiala do mesta vgrajevanja.</t>
  </si>
  <si>
    <t>b.1.4</t>
  </si>
  <si>
    <t>Predelava strešne konstrukcije; rezanje špirovcev na mestu prehodov instalacijskih jaškov preko strehe ter izdelava in vgradnja novih lesenih menjalnikov dim 12 x 14 cm; vse mere kontrolirati na mestu samem; ostalo enako.</t>
  </si>
  <si>
    <t>Demontaža obstoječih špirovcev in iznos v gradbiščno deponijo in odvoz v stalno deponijo oddaljeno do 10 km.</t>
  </si>
  <si>
    <t>Izdelava, dobava in vgradnja novih menjalnikov dim 12 x 14 cm.</t>
  </si>
  <si>
    <t>b.1.5</t>
  </si>
  <si>
    <t>Dobava in vgrajevanje naklonskega estriha, d= 5 - 10 cm; beton C12/15</t>
  </si>
  <si>
    <t>parna zapora</t>
  </si>
  <si>
    <t>T.I. - kamena volna, d= 18,00 cm</t>
  </si>
  <si>
    <t>Finalna kritina: SIKA PLAN 18 G ali enakovredno; pritrjevanje - mehansko; kritina, d= 1,80 mm; vključno z vertikalnim zaključkom na fasadno steno in vertikalnim zaključkom na kapo atike.</t>
  </si>
  <si>
    <t>Zaključna ALU pločevina, d= 0,60 mm, r.š.= 20,00 cm; na stiku s fasado; vključno z vsem tesnilnim in pritrdilnim materialom; stik s fasado tesnjen s TIO kitom.</t>
  </si>
  <si>
    <t>Dobava in vgrajevanje lesenega vložka na kapu atike; dim 10 x 10 cm, sidranje v betonsko konstrukcijo.</t>
  </si>
  <si>
    <t>Dobava in vgrajevanje OSB plošče, d= 2,20 cm, širine 10 cm - sidrana v leseni moral pod točko b.1.4.</t>
  </si>
  <si>
    <t>Zaključna ALU pločevina r.š.= do 30 cm, d= 0,60 mm; z vsem tesnilnim in pritrdilnim materialom, atika - izdelava po detajlu arhitekta.</t>
  </si>
  <si>
    <t>i.</t>
  </si>
  <si>
    <t>Doplačilo za izdelavo odtočne mulde, širine 30,00 cm - vgrajevanje T.I. kamene volne, d= 3,00 cm, v širini 30,00 cm.</t>
  </si>
  <si>
    <r>
      <t xml:space="preserve">Izdelava, dobava in vgrajevanje odtočne cevi </t>
    </r>
    <r>
      <rPr>
        <sz val="11"/>
        <rFont val="Calibri"/>
        <family val="2"/>
      </rPr>
      <t>Φ 50 mm iz ALU pločevine, vključno z vrtanjem odprtine v AB atiki; odvod l= cca 20 cm.</t>
    </r>
  </si>
  <si>
    <t>b.1.6</t>
  </si>
  <si>
    <t>b.1.7</t>
  </si>
  <si>
    <r>
      <rPr>
        <b/>
        <sz val="11"/>
        <rFont val="Calibri"/>
        <family val="2"/>
      </rPr>
      <t>Streha nad jaškom dvigala:</t>
    </r>
    <r>
      <rPr>
        <sz val="11"/>
        <rFont val="Calibri"/>
        <family val="2"/>
      </rPr>
      <t xml:space="preserve">
Kompletna izdelava slojev strehe v sestavi:</t>
    </r>
  </si>
  <si>
    <t>dobava in vgrajevanje parne zapore</t>
  </si>
  <si>
    <t>lesena podkonstrukcija 8/12 cm</t>
  </si>
  <si>
    <t>lesena podkonstrukcija 8/12-17 cm</t>
  </si>
  <si>
    <r>
      <t>T.I. - kamena volna, d= 2x12,00 cm (λR= 0,039 W/(m.K), ρ= 30 kg/m</t>
    </r>
    <r>
      <rPr>
        <vertAlign val="superscript"/>
        <sz val="11"/>
        <rFont val="Calibri"/>
        <family val="2"/>
      </rPr>
      <t>3</t>
    </r>
    <r>
      <rPr>
        <sz val="11"/>
        <rFont val="Calibri"/>
        <family val="2"/>
      </rPr>
      <t>); po SIST EN 13162, npr.: KNAUF INSULATION DP-3 ali enakovredno</t>
    </r>
  </si>
  <si>
    <t>OSB plošče, d= 2,20 cm; sidranje v leseno konstrukcijo</t>
  </si>
  <si>
    <t>Strešna lepenka - položena na OSB ploščo.</t>
  </si>
  <si>
    <t>Finalna kritina: ALU pločevina, d= 0,60 mm; z vsem tesnilnim in pritrdilnim materialom.</t>
  </si>
  <si>
    <t>Izdelava, dobava in montaža ALU horizontalnega žleba r.š.= do 30 cm; d= 0,60 mm; z vsem tesnilnim in pritrdilnim materialom.</t>
  </si>
  <si>
    <t>b.1.8</t>
  </si>
  <si>
    <t>b.1.9</t>
  </si>
  <si>
    <t>b.1.10</t>
  </si>
  <si>
    <t>Montaža in demontaža opaža AB stebrov dim 40 x 20 cm z višino podpiranja, h= do 3,00 m; z montažo in demontažo po končanih delih</t>
  </si>
  <si>
    <t>b.6.1</t>
  </si>
  <si>
    <r>
      <t>m</t>
    </r>
    <r>
      <rPr>
        <b/>
        <vertAlign val="superscript"/>
        <sz val="10"/>
        <rFont val="Calibri"/>
        <family val="2"/>
      </rPr>
      <t>2</t>
    </r>
  </si>
  <si>
    <t>b.6.2</t>
  </si>
  <si>
    <t>b.6.3</t>
  </si>
  <si>
    <t>Enako kot posatvka b.6.1.; le ometane površine</t>
  </si>
  <si>
    <t>b.6.4</t>
  </si>
  <si>
    <t>b.6.5</t>
  </si>
  <si>
    <t>Enako kot postavka b.6.2.; le AB stropovi</t>
  </si>
  <si>
    <t>Odstranjevanje obstoječe barve na stropovih, ter nakladanje in odvoz odpadkov na stalno deponijo oddaljeno do 10 km; z vsemi stroški na deponiji.</t>
  </si>
  <si>
    <t>b.6.6</t>
  </si>
  <si>
    <t>Enako kot postavka b.6.4; le obdelava  - odstranjevanje obstoječe barve na stopnišču - poševni AB podesti in stranske ploskve</t>
  </si>
  <si>
    <t>b.6.7</t>
  </si>
  <si>
    <t>Enako kot posatvka b.6.2.; le finalno slikanje poševnih stopniščnih ram in stranskih ploskev</t>
  </si>
  <si>
    <t>b.6.8</t>
  </si>
  <si>
    <t>Označna etaž</t>
  </si>
  <si>
    <t>DOSTOPNI PLATO:</t>
  </si>
  <si>
    <t>b.8.1.</t>
  </si>
  <si>
    <t>Dobava in polaganje naravnega kamna d = 3,00 cm; polaganje v sloj cementne malte d = 3,00 cm; z dodatki za zmrzlinsko odpornost. V ceni zajeti tudi niskostensko obkrobo višine 10 cm, lepljena na podlago. Tekstura kamna po izboru arhitekta. Vse mere mora izvajalec kontrolirati na emstu samem. V ceni zajeta vsa pomožna dela, prenosi in transporti vsega materiala do mesta vgrajevanja.</t>
  </si>
  <si>
    <t>ALU žaluzija na odprtini za prezračevanje dvigalnega jaška:
Izdelava, dobava in vgrajevanje ALU žaluzije dim 60/30 cm vključno z okvirjem, sidranje v AB konstrukcijo z nerjavečimi vijaki, stiki s fasado kitani s TIO kitom. Vse mere kontrolirati na mestu samem.</t>
  </si>
  <si>
    <r>
      <t xml:space="preserve">Vertikalni žleb iz strehe dvigalnega jaška - priključek v spodnjo žloto; ALU, d= 0,60 mm, </t>
    </r>
    <r>
      <rPr>
        <sz val="11"/>
        <rFont val="Calibri"/>
        <family val="2"/>
      </rPr>
      <t>Φ 100 mm; z vsem tesnilnim in pritrdilnim materialom in napravo žlebnega priključka na stiku horizontalnega in vertikalnega žleba.</t>
    </r>
  </si>
  <si>
    <r>
      <rPr>
        <b/>
        <sz val="11"/>
        <rFont val="Calibri"/>
        <family val="2"/>
      </rPr>
      <t>Horizontalna žlota:</t>
    </r>
    <r>
      <rPr>
        <sz val="11"/>
        <rFont val="Calibri"/>
        <family val="2"/>
      </rPr>
      <t xml:space="preserve">
kompletna izvedba žlote - izdelava po detajlu:
vse mere kontrolirati na emstu samem.</t>
    </r>
  </si>
  <si>
    <t>Dobava in vgrajevanje OSB plošče, d= 22,00 mm; vgrajevanje na leseno podkonstrukcijo v žloti - skupna r.š.= (30+30+20+16+50+50); obloga čelne stranice in spodnje stranice - podlaga za ALU pločevino.</t>
  </si>
  <si>
    <t>Enako kot pod točko a.; le OSB plošča na poševnem delu med oknom in žlebom.</t>
  </si>
  <si>
    <r>
      <rPr>
        <b/>
        <sz val="11"/>
        <rFont val="Calibri"/>
        <family val="2"/>
      </rPr>
      <t>ALU pločevina v žloti:</t>
    </r>
    <r>
      <rPr>
        <sz val="11"/>
        <rFont val="Calibri"/>
        <family val="2"/>
      </rPr>
      <t xml:space="preserve">
Izdelava, dobava in montaža ALU pločevine v žloti r.š.= 95 cm; d= 1,50 mm - vgrajevanje na leseno podlago, z vsemi pomožnimi deli, prenosi in transporti vsega potrebnega materiala do mesta vgrajevanja z vsem tesnilnim in pritrdilnim materialom.</t>
    </r>
  </si>
  <si>
    <t>d.1</t>
  </si>
  <si>
    <t>d.2</t>
  </si>
  <si>
    <t>Čelna obloga iz ALU pločevine r.š.= 65 cm, d= 1,50 mm; ostalo enako kot pod točko d.</t>
  </si>
  <si>
    <t>d.3</t>
  </si>
  <si>
    <t>Spodnja stranica žlote; obloga z ALU pločevino r.š.= 60,00 cm; d= 1,50 mm; ostalo enako kot pod točko d.</t>
  </si>
  <si>
    <r>
      <rPr>
        <b/>
        <sz val="11"/>
        <rFont val="Calibri"/>
        <family val="2"/>
      </rPr>
      <t>Stranske površine niš v mansardi:</t>
    </r>
    <r>
      <rPr>
        <sz val="11"/>
        <rFont val="Calibri"/>
        <family val="2"/>
      </rPr>
      <t xml:space="preserve">
Kompletna izdelava ALU obloge, d= 1,50 mm; obloga se pritrjuje na leseno podlago; z vsem tesnilnim in pritrdilnim materialom.</t>
    </r>
  </si>
  <si>
    <t>ALU obroba poševnega dela niše v mansardi z ALU pločevino, d= 1,50 mm; r.š.= do 25 cm; z vsemi pomožnimi deli, tesnilnim in pritrdilnim materialom.</t>
  </si>
  <si>
    <t>b.1.11</t>
  </si>
  <si>
    <t>ALU zaključna pločevina na zgornji strani niš v mansardi (med oknom); ALU pločevina, d= 1,50 mm; r.š.= do 55 cm; ostalo enako.</t>
  </si>
  <si>
    <t>b.1.12</t>
  </si>
  <si>
    <t>b.1.13</t>
  </si>
  <si>
    <t>b.1.14</t>
  </si>
  <si>
    <r>
      <t xml:space="preserve">Izdelava, dobava in vgrajevanje kontrolnih prelivov v žloti, izdelani iz ALU pločevine </t>
    </r>
    <r>
      <rPr>
        <sz val="11"/>
        <rFont val="Calibri"/>
        <family val="2"/>
      </rPr>
      <t>Φ 75 mm, d= 0,60 mm; z vsem tesnilnim in pritrdilnim materialom.</t>
    </r>
  </si>
  <si>
    <r>
      <t xml:space="preserve">Vertikalne odtočne cevi; izdelava, dobava in montaža vertikalnih odtočnih cevi </t>
    </r>
    <r>
      <rPr>
        <sz val="11"/>
        <rFont val="Calibri"/>
        <family val="2"/>
      </rPr>
      <t>Φ 150 mm; ALU pločevina, d= 0,75 mm; z vsemi pomožnimi deli; vsem tesnilnim in pritrdilnim materialom.</t>
    </r>
  </si>
  <si>
    <r>
      <t xml:space="preserve">Izdelava priključkov vertikalnih odtočnih cevi na peskolove - kolena 90°; </t>
    </r>
    <r>
      <rPr>
        <sz val="11"/>
        <rFont val="Calibri"/>
        <family val="2"/>
      </rPr>
      <t>Φ 150 mm; iz ALU pločevine, d= 1,50 mm; ostalo enako.</t>
    </r>
  </si>
  <si>
    <t>b.1.15</t>
  </si>
  <si>
    <t>Žlebni priključki (kotlički) - priključki vertikalnih cevi na horizontalni žleb, ALU pločevina, d= 0,75 mm.</t>
  </si>
  <si>
    <t>b.5.1</t>
  </si>
  <si>
    <t>b.5.2</t>
  </si>
  <si>
    <t>b.5.3</t>
  </si>
  <si>
    <t>b.5.3-1</t>
  </si>
  <si>
    <t>b.5.3-2</t>
  </si>
  <si>
    <t>b.5.4</t>
  </si>
  <si>
    <t>Obdelava obstoječih stopnic, brušenje površin in poliranje.</t>
  </si>
  <si>
    <t>podesti</t>
  </si>
  <si>
    <t>nastopne ploskve stopnic širine 30 cm.</t>
  </si>
  <si>
    <t>Čelne ploskve stopnic.</t>
  </si>
  <si>
    <t>b.5.5</t>
  </si>
  <si>
    <t>b.5.6</t>
  </si>
  <si>
    <t>b.7.1</t>
  </si>
  <si>
    <t>Izdelava spuščenega stropa iz MK plošč, d= 1x1,25 cm na kovinski podkonstrukciji sidrani v AB obstoječo ploščo. Višina spusta do 25,00 cm. Vsi stiki med ploščami so bandažirani in obdelani v kvaliteti K2; z vsemi pomožnimi deli, prenosi in transporti vsega potrebnega materiala ter pomožnimi delovnimi odri.</t>
  </si>
  <si>
    <t>b.10.1</t>
  </si>
  <si>
    <t>III.</t>
  </si>
  <si>
    <t>ZUNANJA UREDITEV</t>
  </si>
  <si>
    <t>GRADBENA IN OBRTNIŠKA DELA:</t>
  </si>
  <si>
    <t>Skupaj zunanja ureditev:</t>
  </si>
  <si>
    <t>Demontaža obstoječih granitnih kamnitih kock dim 10/10 cm; zlaganje, čiščenje in skladiščenje na gradbišču za kasnejše polaganje; odvoz v gradbiščno deponijo do H= 10,00 m.</t>
  </si>
  <si>
    <t>Odstranitev humusa v debelini cca 20 cm, na mestu bodočega igrišča in skladiščenje na gradbišču za kasnejšo uporabo - urejanje zelenic - odriv humusa na razdaljo do cca 20,00 m. Obračun na osnovi posnetih profilov pred pričetkom del in po končanih delih.</t>
  </si>
  <si>
    <t>Rušenje asfaltne površine z nakladanjem ruševin na transportno sredstvo in odvoz v stalno deponijo, oddaljeno do 10 km, z vsemi stroški na deponiji. Izvajalec je dolžan predati investitorju evidenčne liste o oddaji materiala. Debelina slojev cca 7,00 cm.</t>
  </si>
  <si>
    <t>Rušenje obstoječih cestnih robnikov; ostalo enako kot postavka 3.</t>
  </si>
  <si>
    <t>Rušenje - odstranitev obstoječega tampona v debelini, d= 30,00 cm; nakladanje na transportno sredstvo in odvoz v stalno deponijo - ostalo enako kot postavka 3.</t>
  </si>
  <si>
    <t>Kompletna izdelava hidroizolacije; polimer bitumenska, enoslojna (aPP) po zahtevah DIN 18195 (del 5); kakovost materiala po DIN 52133, npr.: SCUDOPLAST FCTR 180/4 TOP ali enakovredno. Trakovi polno zavarjeni.</t>
  </si>
  <si>
    <t>Dobava in vgrajevanje drenažnega sloja v debelini cca 10 cm; granulacija 0 - 16 mm.</t>
  </si>
  <si>
    <t>Protikoreninska folija.</t>
  </si>
  <si>
    <t>Dobava in vgrajevanje zemlje za rože.</t>
  </si>
  <si>
    <t>Ureditev asfaltnih površin:</t>
  </si>
  <si>
    <t>Dobava in vgrajevanje ločilnega sloja iz PP geotekstila, npr.: POLYFELT TS 30 ali enakovredno, na že planiran in uvaljan planum spodnjega ustroja, min. preklopi 20 cm.</t>
  </si>
  <si>
    <t>Dobava in vgrajevanje novega tamponskega sloja v debelini 30,00 cm; tampon granulacije 0 - 32 mm; tampon z dodatki za zmrzlinsko odpornost; kompletno z vsemi pomožnimi deli, prenosi in transporti vsega potrebnega materiala ter razgrinjanjem materiala. Utrjevanje do predpisane zbitosti 80 MPa.</t>
  </si>
  <si>
    <t>Kompletna izdelava asfaltnih površin z dobavo in vgrajevanjem nosilne plasti iz bituminizirane zmesi AC32 base B 50/70 v debelini 9,00 cm.</t>
  </si>
  <si>
    <t>Obrobni asfaltni sloj; dobava in vgrajevanje obrabne zaporne plasti bitumenskega betona AC 11 surf B 50/70 v debelini 4,00 cm.</t>
  </si>
  <si>
    <t>8.1.</t>
  </si>
  <si>
    <t>Enako kot postavka 8.; le robniki v radiu:</t>
  </si>
  <si>
    <t>r= 34 cm</t>
  </si>
  <si>
    <t>r= 111 cm</t>
  </si>
  <si>
    <t>Ponovna vgradnja granitnih kock dim 10/10 cm; vgrajevanje v AB temelj iz betona C16/20, beton zmrzlinsko odporen; stiki med kockami so fugirani s fino cementno malto CM 1:2.</t>
  </si>
  <si>
    <t>Dobava in vgrajevanje granitnih kock dim 10/10 cm; ostalo enako kot postavka 9.</t>
  </si>
  <si>
    <t>Urejanje novih zelenic:</t>
  </si>
  <si>
    <t>Razstiranje humusa (dovoz iz gradbiščne deponije), v debelini 20-30 cm; planiranje površine (zelenica med parkirišči in otroškem igrišču).</t>
  </si>
  <si>
    <t>Dobava in sejanje kvalitetnega travnatega semena z uvaljanjem za zelenico (otroško igrišče, vključno s silikatno mivko granulacije 0,05 -2,00 mm s frezo umešana v humusni sloj trate). Otroško igrišče in zelenice med parkirišči.</t>
  </si>
  <si>
    <t>Dobava in zasaditev novih dreves; obseg debla min 18 cm; višina 220 cm.</t>
  </si>
  <si>
    <t>Dobava in vgrajevanje linijske rešetke širina 16 cm - obremenitev za težki promet (obremenitveni razred F900) - vgrajevanje po detajlu proizvajalca.</t>
  </si>
  <si>
    <t>Dobava in vgrajevanje cestnega požiralnega premera 50 cm - komplet z mrežo na glavi utoka; jašek globine do 150 cm in izdelavo priključka na odtočno cev.</t>
  </si>
  <si>
    <t>14.</t>
  </si>
  <si>
    <t>Dobava in vgrajevanje talnega sifona kot odtok na odjemnem mestu za odpadke.</t>
  </si>
  <si>
    <t>15.</t>
  </si>
  <si>
    <t>16.</t>
  </si>
  <si>
    <t>Dobava in vgrajevanje prometnega znaka "nimaš prednosti"; podlaga iz ALU pločevine, znak z odsevno folijo I. kvalitete, z vsem pritrdilnim materialom in izdelavo AB temelja za vgradnjo znaka in vgrajevanjem betona C16/20; kompletno z vsemi pomožnimi del</t>
  </si>
  <si>
    <t>Označba parkirnih mest za invalide - komplet črte in talna označba.</t>
  </si>
  <si>
    <t>17.</t>
  </si>
  <si>
    <t>Igrala (otroško igrišče):</t>
  </si>
  <si>
    <t>Demontaža kovisnkih mrež na oknih klet - velikosti do 2,00 m2/kom; in iznos v gradbiščno deponijo</t>
  </si>
  <si>
    <t>a.0.36</t>
  </si>
  <si>
    <t>a.6.9-2</t>
  </si>
  <si>
    <t>Demontaža obstoječega čelnega opaža žlote in spodnje stranice, z iznosom ruševin v gradbiščno deponijo</t>
  </si>
  <si>
    <r>
      <t>a./ vgrajevanje betona se obračunava v m</t>
    </r>
    <r>
      <rPr>
        <vertAlign val="superscript"/>
        <sz val="8"/>
        <rFont val="Calibri"/>
        <family val="2"/>
      </rPr>
      <t>3</t>
    </r>
    <r>
      <rPr>
        <sz val="8"/>
        <rFont val="Calibri"/>
        <family val="2"/>
      </rPr>
      <t xml:space="preserve"> betona ali kot je navedeno v opisu del.
b./ Pri obračunu količin vgrajenega betona se odštejejo vse odprtine neglede na velikost.
c./ obračun armature se izvede na osnovi dejansko vgrajene armature na osnovi armaturnih načrtov.
d./ dodatki za eventuelne oteževalne okoliščine izvedbe del se ne obračunavajo posebej.</t>
    </r>
  </si>
  <si>
    <r>
      <rPr>
        <b/>
        <sz val="12"/>
        <rFont val="Calibri"/>
        <family val="2"/>
      </rPr>
      <t>Podložni beton pod temeljno ploščo dvigalnega jaška</t>
    </r>
    <r>
      <rPr>
        <sz val="11"/>
        <rFont val="Calibri"/>
        <family val="2"/>
      </rPr>
      <t xml:space="preserve"> in pod novimi opažnimi zidovi; dobava in vgrajevanje betona C12/15; prereza 0,08 - 0,12 m</t>
    </r>
    <r>
      <rPr>
        <vertAlign val="superscript"/>
        <sz val="11"/>
        <rFont val="Calibri"/>
        <family val="2"/>
      </rPr>
      <t>3</t>
    </r>
    <r>
      <rPr>
        <sz val="11"/>
        <rFont val="Calibri"/>
        <family val="2"/>
      </rPr>
      <t>/m</t>
    </r>
    <r>
      <rPr>
        <vertAlign val="superscript"/>
        <sz val="11"/>
        <rFont val="Calibri"/>
        <family val="2"/>
      </rPr>
      <t>2</t>
    </r>
    <r>
      <rPr>
        <sz val="11"/>
        <rFont val="Calibri"/>
        <family val="2"/>
      </rPr>
      <t>.</t>
    </r>
  </si>
  <si>
    <r>
      <rPr>
        <b/>
        <sz val="12"/>
        <rFont val="Calibri"/>
        <family val="2"/>
      </rPr>
      <t xml:space="preserve">Podbetoniranje obstoječih temeljev </t>
    </r>
    <r>
      <rPr>
        <sz val="11"/>
        <rFont val="Calibri"/>
        <family val="2"/>
      </rPr>
      <t>z betonom C25/30, prereza nad 0,30 m</t>
    </r>
    <r>
      <rPr>
        <vertAlign val="superscript"/>
        <sz val="11"/>
        <rFont val="Calibri"/>
        <family val="2"/>
      </rPr>
      <t>3</t>
    </r>
    <r>
      <rPr>
        <sz val="11"/>
        <rFont val="Calibri"/>
        <family val="2"/>
      </rPr>
      <t>/m</t>
    </r>
    <r>
      <rPr>
        <vertAlign val="superscript"/>
        <sz val="11"/>
        <rFont val="Calibri"/>
        <family val="2"/>
      </rPr>
      <t>1</t>
    </r>
    <r>
      <rPr>
        <sz val="11"/>
        <rFont val="Calibri"/>
        <family val="2"/>
      </rPr>
      <t>.</t>
    </r>
  </si>
  <si>
    <r>
      <rPr>
        <b/>
        <sz val="12"/>
        <rFont val="Calibri"/>
        <family val="2"/>
      </rPr>
      <t>Novi oporni zidovi:</t>
    </r>
    <r>
      <rPr>
        <sz val="11"/>
        <rFont val="Calibri"/>
        <family val="2"/>
      </rPr>
      <t xml:space="preserve"> dobava in vgrajevanje betona C25/30 - prerez 0,20 - 0,30 m</t>
    </r>
    <r>
      <rPr>
        <vertAlign val="superscript"/>
        <sz val="11"/>
        <rFont val="Calibri"/>
        <family val="2"/>
      </rPr>
      <t>3</t>
    </r>
    <r>
      <rPr>
        <sz val="11"/>
        <rFont val="Calibri"/>
        <family val="2"/>
      </rPr>
      <t>/m</t>
    </r>
    <r>
      <rPr>
        <vertAlign val="superscript"/>
        <sz val="11"/>
        <rFont val="Calibri"/>
        <family val="2"/>
      </rPr>
      <t>2</t>
    </r>
    <r>
      <rPr>
        <sz val="11"/>
        <rFont val="Calibri"/>
        <family val="2"/>
      </rPr>
      <t>.</t>
    </r>
  </si>
  <si>
    <r>
      <rPr>
        <b/>
        <sz val="12"/>
        <rFont val="Calibri"/>
        <family val="2"/>
      </rPr>
      <t>AB stene dvigalnega jaška</t>
    </r>
    <r>
      <rPr>
        <sz val="11"/>
        <rFont val="Calibri"/>
        <family val="2"/>
      </rPr>
      <t xml:space="preserve"> - vkopani del AB sten - vodotesni beton (princip "BELA KAD"); dobava in vgrajevanje betona C25/30 prereza 0,20 m</t>
    </r>
    <r>
      <rPr>
        <vertAlign val="superscript"/>
        <sz val="11"/>
        <rFont val="Calibri"/>
        <family val="2"/>
      </rPr>
      <t>3</t>
    </r>
    <r>
      <rPr>
        <sz val="11"/>
        <rFont val="Calibri"/>
        <family val="2"/>
      </rPr>
      <t>/m</t>
    </r>
    <r>
      <rPr>
        <vertAlign val="superscript"/>
        <sz val="11"/>
        <rFont val="Calibri"/>
        <family val="2"/>
      </rPr>
      <t>2</t>
    </r>
    <r>
      <rPr>
        <sz val="11"/>
        <rFont val="Calibri"/>
        <family val="2"/>
      </rPr>
      <t>. AB stene do višine tlaka kleti do kote -2,93 (glej detajl).</t>
    </r>
  </si>
  <si>
    <r>
      <rPr>
        <b/>
        <sz val="12"/>
        <rFont val="Calibri"/>
        <family val="2"/>
      </rPr>
      <t>Dobava in vgrajevanje betonske mulde</t>
    </r>
    <r>
      <rPr>
        <sz val="11"/>
        <rFont val="Calibri"/>
        <family val="2"/>
      </rPr>
      <t xml:space="preserve"> (tipski betonski elementi), polaganje v sloj cementne malte CM 1:2, d= 3,00 cm. Stiki med elementi so fugirani s fino cementno malto CM 1:2. Polaganje v naklonu proti odtoku, širina kanalete 25 cm.</t>
    </r>
  </si>
  <si>
    <r>
      <t>Betonsko železo - S 500, razed duktilnosti B; f</t>
    </r>
    <r>
      <rPr>
        <b/>
        <vertAlign val="subscript"/>
        <sz val="11"/>
        <rFont val="Calibri"/>
        <family val="2"/>
      </rPr>
      <t>vk</t>
    </r>
    <r>
      <rPr>
        <b/>
        <sz val="11"/>
        <rFont val="Calibri"/>
        <family val="2"/>
      </rPr>
      <t xml:space="preserve"> (MPa) 500; f</t>
    </r>
    <r>
      <rPr>
        <b/>
        <vertAlign val="subscript"/>
        <sz val="11"/>
        <rFont val="Calibri"/>
        <family val="2"/>
      </rPr>
      <t>zk</t>
    </r>
    <r>
      <rPr>
        <b/>
        <sz val="11"/>
        <rFont val="Calibri"/>
        <family val="2"/>
      </rPr>
      <t>/f</t>
    </r>
    <r>
      <rPr>
        <b/>
        <vertAlign val="subscript"/>
        <sz val="11"/>
        <rFont val="Calibri"/>
        <family val="2"/>
      </rPr>
      <t>yk</t>
    </r>
    <r>
      <rPr>
        <b/>
        <sz val="11"/>
        <rFont val="Calibri"/>
        <family val="2"/>
      </rPr>
      <t xml:space="preserve"> </t>
    </r>
    <r>
      <rPr>
        <b/>
        <sz val="11"/>
        <rFont val="Calibri"/>
        <family val="2"/>
      </rPr>
      <t>˃ 1,08; ε</t>
    </r>
    <r>
      <rPr>
        <b/>
        <vertAlign val="subscript"/>
        <sz val="11"/>
        <rFont val="Calibri"/>
        <family val="2"/>
      </rPr>
      <t>vk</t>
    </r>
    <r>
      <rPr>
        <b/>
        <sz val="11"/>
        <rFont val="Calibri"/>
        <family val="2"/>
      </rPr>
      <t xml:space="preserve"> (%) ˃ 5,00</t>
    </r>
    <r>
      <rPr>
        <b/>
        <sz val="11"/>
        <rFont val="Calibri"/>
        <family val="2"/>
      </rPr>
      <t xml:space="preserve">: </t>
    </r>
    <r>
      <rPr>
        <sz val="11"/>
        <rFont val="Calibri"/>
        <family val="2"/>
      </rPr>
      <t>Dobava, rezanje, krivljenje in polaganje ter vezanje armature, z vsemi pomožnimi deli, transporti in prenosi na objektu do mesta vgrajevanja (srednje zahtevna armatura). V ceni upoštevati tudi ves vezni material za vezanje armature, potrebne podložke za armaturo, ki zagotavljajo zadostno zaščitno debelino po statičnem projektu - glej detaj v armaturnem načrtu. Konstruktivni distančniki kot nosilni elementi zgornje armature se obračunajo kot je zajeto v armaturnem načrtu - zajeto v skupni količini vgrajenega železa. SIST EN 10080; SIST EN 1992-1-1.</t>
    </r>
  </si>
  <si>
    <r>
      <t>c.) postavitev, premeščanje in odstranitev premičnih odrov višine do 2 m</t>
    </r>
    <r>
      <rPr>
        <vertAlign val="superscript"/>
        <sz val="8"/>
        <rFont val="Calibri"/>
        <family val="2"/>
      </rPr>
      <t>2</t>
    </r>
    <r>
      <rPr>
        <sz val="8"/>
        <rFont val="Calibri"/>
        <family val="2"/>
      </rPr>
      <t>, potrebnih za napravo tesarskih del.</t>
    </r>
  </si>
  <si>
    <r>
      <rPr>
        <b/>
        <sz val="8"/>
        <rFont val="Calibri"/>
        <family val="2"/>
      </rPr>
      <t>Opis dela:</t>
    </r>
    <r>
      <rPr>
        <sz val="8"/>
        <rFont val="Calibri"/>
        <family val="2"/>
      </rPr>
      <t xml:space="preserve"> kulkulativni elementi - kar mora biti zajeto v cenah posameznih postavk za izvedbo tesarskih del.</t>
    </r>
  </si>
  <si>
    <r>
      <t xml:space="preserve">Enotne cene morajo vsebovati:
</t>
    </r>
    <r>
      <rPr>
        <sz val="8"/>
        <rFont val="Calibri"/>
        <family val="2"/>
      </rPr>
      <t>- vsa potrebna dokumentacija za začetek del;
 - vsa potrebna pripravljalna in pospravljalna dela
 - pregled in čiščenje podloge, nanos izravnalne mase, kjer je to potrebno.
 - snemanje potrebnih izmer na gradbišču in po načrtih.
 - prenos in obeleževanje višinskih točk na objektu.
 - po potrebi izdelava vzorca in vgradnja le-tega na objektu.
 - ves potrebni material: glavni, pomožni, pritrdilni in vezni material.
 - vse potrebne transporte in prenose.
 - ustrezno začasno skladiščenje na delovišču.
- vsa potrebna pomožna sredstva za montažo in demontažo na objektu.
-uporabo vse potrebne mehanizacije ali drugih delovnih sredstev z vsemi stroški povezanimi s tem.
 - usklajevanje z osnovnim načrtom in posvetovanje s projektantom.
 - vso potrebno delo do končnega izdelka.
- vso potrebno zunanje (tehnolog, laboratorij) in notranje kontrole kakovosti.
 - vsa potrebna dokazovanja kakovosti materiala, pravilnega načina izvedbe in izvedenih del (certifikati uporabljenih materialov, meritve tlačne trdnosti, poročila, itd.).
 - terminsko usklajevanje del z ostalimi izvajalci na objektu.
 - vse potrebne ukrepe za doseganje zahtevane kakovosti in rokov iz potrjenega terminskega plana izvajalca.
 - popravilo morebitne povzročene škode ostalim izvajalcem na gradbišču (popravila zidov oz. oblog sten poškodovanih ob polaganju asfalta).
 - čiščenje prostorov, nakladanje in odvoz odpadnega materiala na stalno deponijo.
 - plačilo komunalnega prispevka za stalno deponijo odpadnega materiala.</t>
    </r>
  </si>
  <si>
    <r>
      <t xml:space="preserve">Premični odri do 3 m višine; </t>
    </r>
    <r>
      <rPr>
        <sz val="11"/>
        <rFont val="Calibri"/>
        <family val="2"/>
      </rPr>
      <t>na lesnih ali železnih stolicah, s prenosom materiala do mesta montaže, odstranitvijo odrov po konačni uporabi, čiščenjem lesa in vsemi pomožnimi deli po splošnih določilih za tesarska dela. Uporaba odrov za izvedbo vseh del v objektu, obrtniških in instalacijksih del. Predvideno premeščanje odrov mora izvajalec upoštevati v enotni ceni</t>
    </r>
  </si>
  <si>
    <r>
      <rPr>
        <b/>
        <sz val="11"/>
        <rFont val="Calibri"/>
        <family val="2"/>
      </rPr>
      <t>Hidroizolacija kopalnic in sanitarij (mokri prostori) in pod tlaki kleti; kompletna izdelava H.I. v sestavi:</t>
    </r>
    <r>
      <rPr>
        <sz val="11"/>
        <rFont val="Calibri"/>
        <family val="2"/>
      </rPr>
      <t xml:space="preserve">
- hladni bitumenski premaz s porabo 0,30 kg/m</t>
    </r>
    <r>
      <rPr>
        <vertAlign val="superscript"/>
        <sz val="11"/>
        <rFont val="Calibri"/>
        <family val="2"/>
      </rPr>
      <t>2</t>
    </r>
    <r>
      <rPr>
        <sz val="11"/>
        <rFont val="Calibri"/>
        <family val="2"/>
      </rPr>
      <t xml:space="preserve"> - premaz obstoječe AB plošče s predhodnim čiščenjem površin
- dobava in vgrajevanje H.I. polimer bitumenska izolacija, enoslojna (aPP) po zahtevah DIN 18195 (del5), kakovost materiala po DIN 52133, npr.: SCUDOPLAST FCTR 180/4 TOP ali enakovredno. V ceni izdelave mora biti zajet tudi vertikalni zaključek v višini 8,50 cm; preklopi min 20 cm; polno varjeni trakovi.</t>
    </r>
  </si>
  <si>
    <r>
      <rPr>
        <b/>
        <sz val="12"/>
        <rFont val="Calibri"/>
        <family val="2"/>
      </rPr>
      <t>Hidroizoalcija balkonov (in sušilnica):</t>
    </r>
    <r>
      <rPr>
        <sz val="11"/>
        <rFont val="Calibri"/>
        <family val="2"/>
      </rPr>
      <t xml:space="preserve">
Kompletna izdelava H.I. v sestavi:
- hladni bitumenski premaz na obstoječo AB ploščo s predhodnim čiščenjem površine po odstranitvi obstoječih tlakov; s porabo 0,30 kg/m2.
- hladni bitumenski premaz s porabo 0,30 kg/m</t>
    </r>
    <r>
      <rPr>
        <vertAlign val="superscript"/>
        <sz val="11"/>
        <rFont val="Calibri"/>
        <family val="2"/>
      </rPr>
      <t>2</t>
    </r>
    <r>
      <rPr>
        <sz val="11"/>
        <rFont val="Calibri"/>
        <family val="2"/>
      </rPr>
      <t xml:space="preserve"> - premaz obstoječe AB plošče s predhodnim čiščenjem površin.</t>
    </r>
  </si>
  <si>
    <r>
      <rPr>
        <b/>
        <sz val="12"/>
        <rFont val="Calibri"/>
        <family val="2"/>
      </rPr>
      <t xml:space="preserve">Zazidava odprtin </t>
    </r>
    <r>
      <rPr>
        <sz val="11"/>
        <rFont val="Calibri"/>
        <family val="2"/>
      </rPr>
      <t>z modularno opeko, d= 20,00 cm v PCM 1:2:6, vključno z izdelavo malte za zidanje, vsemi prenosi in transporti do mesta vgrajevanja.</t>
    </r>
  </si>
  <si>
    <r>
      <rPr>
        <b/>
        <sz val="12"/>
        <rFont val="Calibri"/>
        <family val="2"/>
      </rPr>
      <t>Zazidava odprtin s siporex bloketi</t>
    </r>
    <r>
      <rPr>
        <sz val="11"/>
        <rFont val="Calibri"/>
        <family val="2"/>
      </rPr>
      <t xml:space="preserve"> d= 20,00 cm; zidanje na lepilo; z vsemi pomožnimi deli in prenosi vsega potrebnega materiala do mesta vgrajevanja (stopnišče - zazidava okenske odprtine).</t>
    </r>
  </si>
  <si>
    <r>
      <rPr>
        <b/>
        <sz val="12"/>
        <rFont val="Calibri"/>
        <family val="2"/>
      </rPr>
      <t xml:space="preserve">Zidarska obdelava AB sten dvigalnega jaška </t>
    </r>
    <r>
      <rPr>
        <sz val="11"/>
        <rFont val="Calibri"/>
        <family val="2"/>
      </rPr>
      <t>z brušenjem stikov in delno krpanje površin s fino cementno malto CM 1:2; vključno z vsemi pomožnimi deli in prenosi vsega potrebnega materiala na objektu.</t>
    </r>
  </si>
  <si>
    <r>
      <rPr>
        <b/>
        <sz val="12"/>
        <rFont val="Calibri"/>
        <family val="2"/>
      </rPr>
      <t xml:space="preserve">Zidanje predelnih sten </t>
    </r>
    <r>
      <rPr>
        <sz val="11"/>
        <rFont val="Calibri"/>
        <family val="2"/>
      </rPr>
      <t>s polovično modularno opekko v PCM 1:2:6, vključno z izdelavo malte za zidanje, vsemi pomožnimi deli in transporti do mesta vgrajevanja (shrambe v kleti).</t>
    </r>
  </si>
  <si>
    <r>
      <rPr>
        <b/>
        <sz val="12"/>
        <rFont val="Calibri"/>
        <family val="2"/>
      </rPr>
      <t>AB preklade nad vrati:</t>
    </r>
    <r>
      <rPr>
        <sz val="11"/>
        <rFont val="Calibri"/>
        <family val="2"/>
      </rPr>
      <t xml:space="preserve">
Kompletna izdelava AB preklade nad vrati, z dobavo in vgrajevanjem betona C25/30; opažem in armaturo RA 400/500. Izdelava istočasno z zidanjem:</t>
    </r>
  </si>
  <si>
    <r>
      <rPr>
        <b/>
        <sz val="11"/>
        <rFont val="Calibri"/>
        <family val="2"/>
      </rPr>
      <t>Medetažne konstrukcije (kopalnice in sanitarije) - cementni estrih pod keramiko:</t>
    </r>
    <r>
      <rPr>
        <sz val="11"/>
        <rFont val="Calibri"/>
        <family val="2"/>
      </rPr>
      <t xml:space="preserve">
Kompletna izdelava tlaka v sestavi:
- mikroarmiran cementni estrih, d= 5,50 cm MB 20
- ločilni sloj; PE folija, d= 0,15 mm
- toplotna in akustična izoalcija, d= 2,00 cm; dobava in polaganje kamene volne SIST EN 13162 (</t>
    </r>
    <r>
      <rPr>
        <sz val="11"/>
        <rFont val="Calibri"/>
        <family val="2"/>
      </rPr>
      <t>λR= 0,037 W/(m.K); ρ= 105 kg/m</t>
    </r>
    <r>
      <rPr>
        <vertAlign val="superscript"/>
        <sz val="11"/>
        <rFont val="Calibri"/>
        <family val="2"/>
      </rPr>
      <t>3</t>
    </r>
    <r>
      <rPr>
        <sz val="11"/>
        <rFont val="Calibri"/>
        <family val="2"/>
      </rPr>
      <t>, npr.: KNAUF INSULATION TP ali enakovredno (polaganje na obstoječo stropno konstrukcijo).</t>
    </r>
  </si>
  <si>
    <r>
      <rPr>
        <b/>
        <sz val="11"/>
        <rFont val="Calibri"/>
        <family val="2"/>
      </rPr>
      <t xml:space="preserve">Medetažne konstrukcije (skupni hodniki) - cementni estrih pod keramiko: </t>
    </r>
    <r>
      <rPr>
        <sz val="11"/>
        <rFont val="Calibri"/>
        <family val="2"/>
      </rPr>
      <t>Kompletna izdelava tlaka v sestavi:
- mikroarmiran cementni estrih, d= 8,50 cm MB 20
- ločilni sloj; PE folija, d= 0,15 mm
- toplotna in akustična izoalcija, d= 2,00 cm; dobava in polaganje kamene volne SIST EN 13162 (</t>
    </r>
    <r>
      <rPr>
        <sz val="11"/>
        <rFont val="Calibri"/>
        <family val="2"/>
      </rPr>
      <t>λR= 0,037 W/(m.K); ρ= 105 kg/m</t>
    </r>
    <r>
      <rPr>
        <vertAlign val="superscript"/>
        <sz val="11"/>
        <rFont val="Calibri"/>
        <family val="2"/>
      </rPr>
      <t>3</t>
    </r>
    <r>
      <rPr>
        <sz val="11"/>
        <rFont val="Calibri"/>
        <family val="2"/>
      </rPr>
      <t>, npr.: KNAUF INSULATION TP ali enakovredno (polaganje na obstoječo stropno konstrukcijo).</t>
    </r>
  </si>
  <si>
    <r>
      <rPr>
        <b/>
        <sz val="11"/>
        <rFont val="Calibri"/>
        <family val="2"/>
      </rPr>
      <t xml:space="preserve">Tla na terenu (skupni hodnik) - klet - cementni estrih pod keramiko: </t>
    </r>
    <r>
      <rPr>
        <sz val="11"/>
        <rFont val="Calibri"/>
        <family val="2"/>
      </rPr>
      <t>Kompletna izdelava tlaka v sestavi:
- mikroarmiran cementni estrih, d= 6,00 - 10,00 cm MB 20
- ločilni sloj; PE folija, d= 0,15 mm
- toplotna in akustična izoalcija, d= 2,00 cm; dobava in polaganje kamene volne SIST EN 13162 (</t>
    </r>
    <r>
      <rPr>
        <sz val="11"/>
        <rFont val="Calibri"/>
        <family val="2"/>
      </rPr>
      <t>λR= 0,036 W/(m.K); kamena volna, d= 10,00 cm; SIST EN 13162, npr.: KNAUF INSULATION Polyfoam C-350 LJ ali enakovredno.</t>
    </r>
  </si>
  <si>
    <r>
      <t xml:space="preserve"> </t>
    </r>
    <r>
      <rPr>
        <sz val="8"/>
        <rFont val="Calibri"/>
        <family val="2"/>
      </rPr>
      <t>V primeru da posamezne postavke v popisu ne zajemajo celotnega opisa potrebnega za funkcionalno dokončanje dela, mora ponudnik izvedbo le tega vključiti v ceno na enoto!</t>
    </r>
  </si>
  <si>
    <r>
      <rPr>
        <b/>
        <sz val="12"/>
        <rFont val="Calibri"/>
        <family val="2"/>
      </rPr>
      <t>Finalna čelna obdelava nadstreška nad vhodom v sestavi:</t>
    </r>
    <r>
      <rPr>
        <sz val="11"/>
        <rFont val="Calibri"/>
        <family val="2"/>
      </rPr>
      <t xml:space="preserve">
- dobava in vgrajevanje T.I. - kamena volna, d= 3,00 cm - lepljena in sidrana v AB konstrukcijo z nerjavečimi sidri po navodilih proizvajalca
- zaključni finalni tankoslojni fasadni omet - tekstura po izboru arhitekta.</t>
    </r>
  </si>
  <si>
    <r>
      <t xml:space="preserve">POZ V1 dim 80/210 - notranja vrata v stanovanjih:
</t>
    </r>
    <r>
      <rPr>
        <sz val="11"/>
        <rFont val="Calibri"/>
        <family val="2"/>
      </rPr>
      <t>svetla mera 80/210 cm, zidarska mera 90/215, debelina stene 10 cm (v gips stenah)
okvir/obdelava: kovinski; krilo/obdelava: leseno, pleskano
okovje: kromirano; ključavnica: navadna
OP.: suhomontažna izvedba vrat.</t>
    </r>
  </si>
  <si>
    <r>
      <t>POZ V3 dim 80/210 - vhodna vrata v stanovanja - EI</t>
    </r>
    <r>
      <rPr>
        <b/>
        <vertAlign val="subscript"/>
        <sz val="11"/>
        <rFont val="Calibri"/>
        <family val="2"/>
      </rPr>
      <t>2</t>
    </r>
    <r>
      <rPr>
        <b/>
        <sz val="11"/>
        <rFont val="Calibri"/>
        <family val="2"/>
      </rPr>
      <t xml:space="preserve">30:
</t>
    </r>
    <r>
      <rPr>
        <sz val="11"/>
        <rFont val="Calibri"/>
        <family val="2"/>
      </rPr>
      <t>svetla mera 80/210 cm, zidarska mera 90/215, debelina stene 25 cm
okvir/obdelava: kovinski, pleskan; krilo/obdelava: leseno krilo s protipožarnim polnilom obdelano z laminatom
okovje: kromirano, 3x nasadilo; ključavnica: varnostna, clindrična, kromirana
OP.: zvočnoizolativna vrata min 27 dB, požarna vrata EI</t>
    </r>
    <r>
      <rPr>
        <vertAlign val="subscript"/>
        <sz val="11"/>
        <rFont val="Calibri"/>
        <family val="2"/>
      </rPr>
      <t>2</t>
    </r>
    <r>
      <rPr>
        <sz val="11"/>
        <rFont val="Calibri"/>
        <family val="2"/>
      </rPr>
      <t>30, suhomontažna izvedba vrat s kukalom, vgrajena pripira vrat - kotni profil.</t>
    </r>
  </si>
  <si>
    <r>
      <t>POZ V4 dim 80/210 - vrata na stopnišču - EI</t>
    </r>
    <r>
      <rPr>
        <b/>
        <vertAlign val="subscript"/>
        <sz val="11"/>
        <rFont val="Calibri"/>
        <family val="2"/>
      </rPr>
      <t>2</t>
    </r>
    <r>
      <rPr>
        <b/>
        <sz val="11"/>
        <rFont val="Calibri"/>
        <family val="2"/>
      </rPr>
      <t xml:space="preserve">30-C2 NP:
</t>
    </r>
    <r>
      <rPr>
        <sz val="11"/>
        <rFont val="Calibri"/>
        <family val="2"/>
      </rPr>
      <t>svetla mera 90/210 cm + obsvetloba, zidarska mera 159/215,
okvir/obdelava: kovinski, pleskan; krilo/obdelava: leseni okvir, polnilo steklo
okovje: kromirano, 3x nasadilo; ključavnica: clindrična, kljuka po standardu EN179
OP.: požarna vrata EI</t>
    </r>
    <r>
      <rPr>
        <vertAlign val="subscript"/>
        <sz val="11"/>
        <rFont val="Calibri"/>
        <family val="2"/>
      </rPr>
      <t>2</t>
    </r>
    <r>
      <rPr>
        <sz val="11"/>
        <rFont val="Calibri"/>
        <family val="2"/>
      </rPr>
      <t>30-C2 NP, vgrajeno samozapiralo na strani, kjer ni nasadil, suhomontažna izvedba vrat.</t>
    </r>
  </si>
  <si>
    <r>
      <t>POZ V7 dim 80/210 - vhodna vrata v toplotno postajo - EI</t>
    </r>
    <r>
      <rPr>
        <b/>
        <vertAlign val="subscript"/>
        <sz val="11"/>
        <rFont val="Calibri"/>
        <family val="2"/>
      </rPr>
      <t>2</t>
    </r>
    <r>
      <rPr>
        <b/>
        <sz val="11"/>
        <rFont val="Calibri"/>
        <family val="2"/>
      </rPr>
      <t xml:space="preserve">30:
</t>
    </r>
    <r>
      <rPr>
        <sz val="11"/>
        <rFont val="Calibri"/>
        <family val="2"/>
      </rPr>
      <t>svetla mera 80+45/210 cm, zidarska mera 135/215, debelina stene 25 cm
okvir/obdelava: kovinski, pleskan; krilo/obdelava: masivno leseno krilo, obdelano s HDF furnirjem
okovje: kromirano, 3x nasadilo; ključavnica: clindrična, kromirana
OP.: požarna vrata EI</t>
    </r>
    <r>
      <rPr>
        <vertAlign val="subscript"/>
        <sz val="11"/>
        <rFont val="Calibri"/>
        <family val="2"/>
      </rPr>
      <t>2</t>
    </r>
    <r>
      <rPr>
        <sz val="11"/>
        <rFont val="Calibri"/>
        <family val="2"/>
      </rPr>
      <t>30, vgrajeno samozapiralo na strani, kjer ni nasadil, suhomontažna izvedba vrat s kukalom.</t>
    </r>
  </si>
  <si>
    <r>
      <t>POZ V9 dim 90/210 - vhodna vrata v hodnik v kleti - EI</t>
    </r>
    <r>
      <rPr>
        <b/>
        <vertAlign val="subscript"/>
        <sz val="11"/>
        <rFont val="Calibri"/>
        <family val="2"/>
      </rPr>
      <t>2</t>
    </r>
    <r>
      <rPr>
        <b/>
        <sz val="11"/>
        <rFont val="Calibri"/>
        <family val="2"/>
      </rPr>
      <t xml:space="preserve">30:
</t>
    </r>
    <r>
      <rPr>
        <sz val="11"/>
        <rFont val="Calibri"/>
        <family val="2"/>
      </rPr>
      <t>svetla mera 90/210 cm, zidarska mera 100/215, debelina stene 25 cm
okvir/obdelava: kovinski, pleskan; krilo/obdelava: masivno leseno krilo, obdelano s HDF furnirjem
okovje: kromirano, 3x nasadilo; ključavnica: clindrična, kromirana
OP.: požarna vrata EI</t>
    </r>
    <r>
      <rPr>
        <vertAlign val="subscript"/>
        <sz val="11"/>
        <rFont val="Calibri"/>
        <family val="2"/>
      </rPr>
      <t>2</t>
    </r>
    <r>
      <rPr>
        <sz val="11"/>
        <rFont val="Calibri"/>
        <family val="2"/>
      </rPr>
      <t>30, vgrajeno samozapiralo na strani, kjer ni nasadil, suhomtažna izvedba vrat.</t>
    </r>
  </si>
  <si>
    <r>
      <t xml:space="preserve">POZ V11 dim 80/210 - vratqa v shrambo:
</t>
    </r>
    <r>
      <rPr>
        <sz val="11"/>
        <rFont val="Calibri"/>
        <family val="2"/>
      </rPr>
      <t>svetla mera 80/210 cm, zidarska mera 90/215, debelina stene 17 cm
okvir/obdelava: lesen, pleskan; krilo/obdelava: leseno krilo, pleskano
okovje: kromirano, 3x nasadilo; ključavnica: clindrična
OP.: suhomtažna izvedba vrat, spodrezana vrata, h=2,00 cm.</t>
    </r>
  </si>
  <si>
    <r>
      <t xml:space="preserve">POZ V6 dim 80/210 - vrata na balkon v beli barvi, RAL vgradnja:
</t>
    </r>
    <r>
      <rPr>
        <sz val="11"/>
        <rFont val="Calibri"/>
        <family val="2"/>
      </rPr>
      <t>svetla mera 90/250 cm + obsvetloba, zidarska mera 170/250,
okvir/obdelava: PVC, 5 komorni profil; krilo/obdelava: PVC, 5 komorni profil, dvoslojni termopan 4/16/4, U</t>
    </r>
    <r>
      <rPr>
        <vertAlign val="subscript"/>
        <sz val="11"/>
        <rFont val="Calibri"/>
        <family val="2"/>
      </rPr>
      <t>g</t>
    </r>
    <r>
      <rPr>
        <sz val="11"/>
        <rFont val="Calibri"/>
        <family val="2"/>
      </rPr>
      <t>= 1,1W/m</t>
    </r>
    <r>
      <rPr>
        <vertAlign val="superscript"/>
        <sz val="11"/>
        <rFont val="Calibri"/>
        <family val="2"/>
      </rPr>
      <t>2</t>
    </r>
    <r>
      <rPr>
        <sz val="11"/>
        <rFont val="Calibri"/>
        <family val="2"/>
      </rPr>
      <t>K, U</t>
    </r>
    <r>
      <rPr>
        <vertAlign val="subscript"/>
        <sz val="11"/>
        <rFont val="Calibri"/>
        <family val="2"/>
      </rPr>
      <t>W</t>
    </r>
    <r>
      <rPr>
        <sz val="11"/>
        <rFont val="Calibri"/>
        <family val="2"/>
      </rPr>
      <t>= 1,2 W/m</t>
    </r>
    <r>
      <rPr>
        <vertAlign val="superscript"/>
        <sz val="11"/>
        <rFont val="Calibri"/>
        <family val="2"/>
      </rPr>
      <t>2</t>
    </r>
    <r>
      <rPr>
        <sz val="11"/>
        <rFont val="Calibri"/>
        <family val="2"/>
      </rPr>
      <t>K, g= 0,15
okovje: kromirano, 3x nasadilo; ključavnica: clindrična
OP.: suhomontažna izvedba vrat, znižani prag, ustrezen tesnilni material, znižani spodnji prag.</t>
    </r>
  </si>
  <si>
    <r>
      <t xml:space="preserve">POZ O1.1 dim 184/153 - okno v beli barvi, RAL vgradnja:
</t>
    </r>
    <r>
      <rPr>
        <sz val="11"/>
        <rFont val="Calibri"/>
        <family val="2"/>
      </rPr>
      <t>zidarska mera 184/153,
okvir/obdelava: PVC, 5 komorni profil; krilo/obdelava: PVC, 5 komorni profil, dvoslojni termopan 4/16/4, U</t>
    </r>
    <r>
      <rPr>
        <vertAlign val="subscript"/>
        <sz val="11"/>
        <rFont val="Calibri"/>
        <family val="2"/>
      </rPr>
      <t>g</t>
    </r>
    <r>
      <rPr>
        <sz val="11"/>
        <rFont val="Calibri"/>
        <family val="2"/>
      </rPr>
      <t>= 1,1W/m</t>
    </r>
    <r>
      <rPr>
        <vertAlign val="superscript"/>
        <sz val="11"/>
        <rFont val="Calibri"/>
        <family val="2"/>
      </rPr>
      <t>2</t>
    </r>
    <r>
      <rPr>
        <sz val="11"/>
        <rFont val="Calibri"/>
        <family val="2"/>
      </rPr>
      <t>K, U</t>
    </r>
    <r>
      <rPr>
        <vertAlign val="subscript"/>
        <sz val="11"/>
        <rFont val="Calibri"/>
        <family val="2"/>
      </rPr>
      <t>W</t>
    </r>
    <r>
      <rPr>
        <sz val="11"/>
        <rFont val="Calibri"/>
        <family val="2"/>
      </rPr>
      <t>= 1,3 W/m</t>
    </r>
    <r>
      <rPr>
        <vertAlign val="superscript"/>
        <sz val="11"/>
        <rFont val="Calibri"/>
        <family val="2"/>
      </rPr>
      <t>2</t>
    </r>
    <r>
      <rPr>
        <sz val="11"/>
        <rFont val="Calibri"/>
        <family val="2"/>
      </rPr>
      <t>K, g= 0,15
okovje: kromirano; odpiranje: klasično; senčilo: podometna nadokenska izolativna roleta; police: notranja polica PVC, zunanja prešana pločevina
OP.: ustrezen tesnilni material, pozicija elementov je razvidna iz načrta arhitekture.</t>
    </r>
  </si>
  <si>
    <r>
      <t xml:space="preserve">POZ O1.2 dim 184/153 - okno v beli barvi, RAL vgradnja:
</t>
    </r>
    <r>
      <rPr>
        <sz val="11"/>
        <rFont val="Calibri"/>
        <family val="2"/>
      </rPr>
      <t>zidarska mera 184/153,
okvir/obdelava: PVC, 5 komorni profil; krilo/obdelava: PVC, 5 komorni profil, dvoslojni termopan 4/16/4, U</t>
    </r>
    <r>
      <rPr>
        <vertAlign val="subscript"/>
        <sz val="11"/>
        <rFont val="Calibri"/>
        <family val="2"/>
      </rPr>
      <t>g</t>
    </r>
    <r>
      <rPr>
        <sz val="11"/>
        <rFont val="Calibri"/>
        <family val="2"/>
      </rPr>
      <t>= 1,1W/m</t>
    </r>
    <r>
      <rPr>
        <vertAlign val="superscript"/>
        <sz val="11"/>
        <rFont val="Calibri"/>
        <family val="2"/>
      </rPr>
      <t>2</t>
    </r>
    <r>
      <rPr>
        <sz val="11"/>
        <rFont val="Calibri"/>
        <family val="2"/>
      </rPr>
      <t>K, U</t>
    </r>
    <r>
      <rPr>
        <vertAlign val="subscript"/>
        <sz val="11"/>
        <rFont val="Calibri"/>
        <family val="2"/>
      </rPr>
      <t>W</t>
    </r>
    <r>
      <rPr>
        <sz val="11"/>
        <rFont val="Calibri"/>
        <family val="2"/>
      </rPr>
      <t>= 1,3 W/m</t>
    </r>
    <r>
      <rPr>
        <vertAlign val="superscript"/>
        <sz val="11"/>
        <rFont val="Calibri"/>
        <family val="2"/>
      </rPr>
      <t>2</t>
    </r>
    <r>
      <rPr>
        <sz val="11"/>
        <rFont val="Calibri"/>
        <family val="2"/>
      </rPr>
      <t>K, g= 0,15
okovje: kromirano; odpiranje: klasično; senčilo: podometna nadokenska izolativna roleta; police: notranja polica PVC, zunanja prešana pločevina
OP.: ustrezen tesnilni material, pozicija elementov je razvidna iz načrta arhitekture.</t>
    </r>
  </si>
  <si>
    <r>
      <t xml:space="preserve">POZ O2 dim 83/153 - okno v beli barvi, RAL vgradnja:
</t>
    </r>
    <r>
      <rPr>
        <sz val="11"/>
        <rFont val="Calibri"/>
        <family val="2"/>
      </rPr>
      <t>zidarska mera 83/153,
okvir/obdelava: PVC, 5 komorni profil; krilo/obdelava: PVC, 5 komorni profil, dvoslojni termopan 4/16/4, U</t>
    </r>
    <r>
      <rPr>
        <vertAlign val="subscript"/>
        <sz val="11"/>
        <rFont val="Calibri"/>
        <family val="2"/>
      </rPr>
      <t>g</t>
    </r>
    <r>
      <rPr>
        <sz val="11"/>
        <rFont val="Calibri"/>
        <family val="2"/>
      </rPr>
      <t>= 1,1W/m</t>
    </r>
    <r>
      <rPr>
        <vertAlign val="superscript"/>
        <sz val="11"/>
        <rFont val="Calibri"/>
        <family val="2"/>
      </rPr>
      <t>2</t>
    </r>
    <r>
      <rPr>
        <sz val="11"/>
        <rFont val="Calibri"/>
        <family val="2"/>
      </rPr>
      <t>K, U</t>
    </r>
    <r>
      <rPr>
        <vertAlign val="subscript"/>
        <sz val="11"/>
        <rFont val="Calibri"/>
        <family val="2"/>
      </rPr>
      <t>W</t>
    </r>
    <r>
      <rPr>
        <sz val="11"/>
        <rFont val="Calibri"/>
        <family val="2"/>
      </rPr>
      <t>= 1,3 W/m</t>
    </r>
    <r>
      <rPr>
        <vertAlign val="superscript"/>
        <sz val="11"/>
        <rFont val="Calibri"/>
        <family val="2"/>
      </rPr>
      <t>2</t>
    </r>
    <r>
      <rPr>
        <sz val="11"/>
        <rFont val="Calibri"/>
        <family val="2"/>
      </rPr>
      <t>K, g= 0,15
okovje: kromirano; odpiranje: klasično; senčilo: podometna nadokenska izolativna roleta; police: notranja polica PVC, zunanja prešana pločevina
OP.: ustrezen tesnilni material, pozicija elementov je razvidna iz načrta arhitekture.</t>
    </r>
  </si>
  <si>
    <r>
      <t xml:space="preserve">POZ O3 dim 123/153 - okno v beli barvi, RAL vgradnja:
</t>
    </r>
    <r>
      <rPr>
        <sz val="11"/>
        <rFont val="Calibri"/>
        <family val="2"/>
      </rPr>
      <t>zidarska mera 123/153,
okvir/obdelava: PVC, 5 komorni profil; krilo/obdelava: PVC, 5 komorni profil, dvoslojni termopan 4/16/4, U</t>
    </r>
    <r>
      <rPr>
        <vertAlign val="subscript"/>
        <sz val="11"/>
        <rFont val="Calibri"/>
        <family val="2"/>
      </rPr>
      <t>g</t>
    </r>
    <r>
      <rPr>
        <sz val="11"/>
        <rFont val="Calibri"/>
        <family val="2"/>
      </rPr>
      <t>= 1,1W/m</t>
    </r>
    <r>
      <rPr>
        <vertAlign val="superscript"/>
        <sz val="11"/>
        <rFont val="Calibri"/>
        <family val="2"/>
      </rPr>
      <t>2</t>
    </r>
    <r>
      <rPr>
        <sz val="11"/>
        <rFont val="Calibri"/>
        <family val="2"/>
      </rPr>
      <t>K, U</t>
    </r>
    <r>
      <rPr>
        <vertAlign val="subscript"/>
        <sz val="11"/>
        <rFont val="Calibri"/>
        <family val="2"/>
      </rPr>
      <t>W</t>
    </r>
    <r>
      <rPr>
        <sz val="11"/>
        <rFont val="Calibri"/>
        <family val="2"/>
      </rPr>
      <t>= 1,3 W/m</t>
    </r>
    <r>
      <rPr>
        <vertAlign val="superscript"/>
        <sz val="11"/>
        <rFont val="Calibri"/>
        <family val="2"/>
      </rPr>
      <t>2</t>
    </r>
    <r>
      <rPr>
        <sz val="11"/>
        <rFont val="Calibri"/>
        <family val="2"/>
      </rPr>
      <t>K, g= 0,15
okovje: kromirano; odpiranje: klasično; senčilo: podometna nadokenska izolativna roleta; police: notranja polica PVC, zunanja prešana pločevina
OP.: ustrezen tesnilni material, pozicija elementov je razvidna iz načrta arhitekture.</t>
    </r>
  </si>
  <si>
    <r>
      <t xml:space="preserve">POZ O4 dim 123/153 - okno v beli barvi, RAL vgradnja:
</t>
    </r>
    <r>
      <rPr>
        <sz val="11"/>
        <rFont val="Calibri"/>
        <family val="2"/>
      </rPr>
      <t>zidarska mera 123/153,
okvir/obdelava: PVC, 5 komorni profil; krilo/obdelava: PVC, 5 komorni profil, dvoslojni termopan 4/16/4, U</t>
    </r>
    <r>
      <rPr>
        <vertAlign val="subscript"/>
        <sz val="11"/>
        <rFont val="Calibri"/>
        <family val="2"/>
      </rPr>
      <t>g</t>
    </r>
    <r>
      <rPr>
        <sz val="11"/>
        <rFont val="Calibri"/>
        <family val="2"/>
      </rPr>
      <t>= 1,1W/m</t>
    </r>
    <r>
      <rPr>
        <vertAlign val="superscript"/>
        <sz val="11"/>
        <rFont val="Calibri"/>
        <family val="2"/>
      </rPr>
      <t>2</t>
    </r>
    <r>
      <rPr>
        <sz val="11"/>
        <rFont val="Calibri"/>
        <family val="2"/>
      </rPr>
      <t>K, U</t>
    </r>
    <r>
      <rPr>
        <vertAlign val="subscript"/>
        <sz val="11"/>
        <rFont val="Calibri"/>
        <family val="2"/>
      </rPr>
      <t>W</t>
    </r>
    <r>
      <rPr>
        <sz val="11"/>
        <rFont val="Calibri"/>
        <family val="2"/>
      </rPr>
      <t>= 1,3 W/m</t>
    </r>
    <r>
      <rPr>
        <vertAlign val="superscript"/>
        <sz val="11"/>
        <rFont val="Calibri"/>
        <family val="2"/>
      </rPr>
      <t>2</t>
    </r>
    <r>
      <rPr>
        <sz val="11"/>
        <rFont val="Calibri"/>
        <family val="2"/>
      </rPr>
      <t>K, g= 0,15
okovje: kromirano; odpiranje: klasično; senčilo: podometna nadokenska izolativna roleta; police: notranja polica PVC, zunanja prešana pločevina
OP.: ustrezen tesnilni material, pozicija elementov je razvidna iz načrta arhitekture.</t>
    </r>
  </si>
  <si>
    <r>
      <rPr>
        <b/>
        <sz val="11"/>
        <rFont val="Calibri"/>
        <family val="2"/>
      </rPr>
      <t>Slikanje sten obloženih z gips ploščami;</t>
    </r>
    <r>
      <rPr>
        <sz val="11"/>
        <rFont val="Calibri"/>
        <family val="2"/>
      </rPr>
      <t xml:space="preserve">
slikanje s predhodnim 2x-nim glajenjem vseh površin s poldisperzijskim kitom, brušenjem površin, ter 2x-nim finalnim pleskanjem s poldisperzijsko barvo v tonu po izboru arhitekta, kompletno z vsemi pomožnimi deli, transporti in prenosi materiala do mesta obdelave. Pred finalnim slikanjem morajo biti vse površine ravne in gladke.</t>
    </r>
  </si>
  <si>
    <r>
      <rPr>
        <b/>
        <sz val="11"/>
        <rFont val="Calibri"/>
        <family val="2"/>
      </rPr>
      <t>Slikanje spuščenih stropov - gips plošče;</t>
    </r>
    <r>
      <rPr>
        <sz val="11"/>
        <rFont val="Calibri"/>
        <family val="2"/>
      </rPr>
      <t xml:space="preserve">
slikanje s predhodnim 2x-nim glajenjem vseh površin s poldisperzijskim kitom, brušenjem površin, ter 2x-nim finalnim pleskanjem s poldisperzijsko barvo v tonu po izboru arhitekta, kompletno z vsemi pomožnimi deli, transporti in prenosi materiala do mesta obdelave. Pred finalnim slikanjem morajo biti vse površine ravne in gladke.</t>
    </r>
  </si>
  <si>
    <r>
      <t xml:space="preserve">POZ V5.1 dim 100/210 - vrata v vetrolovu-NP:
</t>
    </r>
    <r>
      <rPr>
        <sz val="11"/>
        <rFont val="Calibri"/>
        <family val="2"/>
      </rPr>
      <t>svetla mera 100/210 cm + nadsvetloba, zidarska mera 110/210,
okvir/obdelava: ALU, barvan; krilo/obdelava: ALU, polnilo varnostno steklo
okovje: kromirano, 3x nasadilo; ključavnica: clindrična, kljuka po standardu EN179
OP.: vgrajeno samozapiralo na strani, kjer ni nasadil, električno odpiranje preko domofone, suhomontažna izvedba vrat.</t>
    </r>
  </si>
  <si>
    <r>
      <t xml:space="preserve">POZ V5.2 dim 100/210 - vhodna vrata-NP:
</t>
    </r>
    <r>
      <rPr>
        <sz val="11"/>
        <rFont val="Calibri"/>
        <family val="2"/>
      </rPr>
      <t>svetla mera 100/210 cm + nadsvetloba + obsvetloba, zidarska mera 248/250,
okvir/obdelava: ALU, barvan; krilo/obdelava: ALU, polnilo - termopan, varnostno steklo U= 1,2 W/m</t>
    </r>
    <r>
      <rPr>
        <vertAlign val="superscript"/>
        <sz val="11"/>
        <rFont val="Calibri"/>
        <family val="2"/>
      </rPr>
      <t>2</t>
    </r>
    <r>
      <rPr>
        <sz val="11"/>
        <rFont val="Calibri"/>
        <family val="2"/>
      </rPr>
      <t>K
okovje: kromirano, 3x nasadilo; ključavnica: clindrična, kljuka po standardu EN179
OP.: vgrajeno samozapiralo na strani, kjer ni nasadil, suhomontažna izvedba vrat, znižani prag.</t>
    </r>
  </si>
  <si>
    <r>
      <t xml:space="preserve">POZ V5.3 dim 90/210 - vhodna vrata-NP:
</t>
    </r>
    <r>
      <rPr>
        <sz val="11"/>
        <rFont val="Calibri"/>
        <family val="2"/>
      </rPr>
      <t>svetla mera 90/210 cm + nadsvetloba + obsvetloba, zidarska mera 175/345,
okvir/obdelava: ALU, barvan; krilo/obdelava: ALU, polnilo - termopan, varnostno steklo U= 1,2 W/m</t>
    </r>
    <r>
      <rPr>
        <vertAlign val="superscript"/>
        <sz val="11"/>
        <rFont val="Calibri"/>
        <family val="2"/>
      </rPr>
      <t>2</t>
    </r>
    <r>
      <rPr>
        <sz val="11"/>
        <rFont val="Calibri"/>
        <family val="2"/>
      </rPr>
      <t>K
okovje: kromirano, 3x nasadilo; ključavnica: clindrična, kljuka po standardu EN179
OP.: vgrajeno samozapiralo na strani, kjer ni nasadil, suhomontažna izvedba vrat, znižani prag.</t>
    </r>
  </si>
  <si>
    <r>
      <t xml:space="preserve">POZ SS1 dim 100/250 - steklena stena v pritličju:
</t>
    </r>
    <r>
      <rPr>
        <sz val="11"/>
        <rFont val="Calibri"/>
        <family val="2"/>
      </rPr>
      <t>svetla mera 100/251 cm, zidarska mera 100/251
okvir/obdelava: ALU, barvan
OP.: suhomontažna izvedba vrat.</t>
    </r>
  </si>
  <si>
    <r>
      <t xml:space="preserve">POZ PS1 dim 70/250 - pregradna stena v kopalnici:
</t>
    </r>
    <r>
      <rPr>
        <sz val="11"/>
        <rFont val="Calibri"/>
        <family val="2"/>
      </rPr>
      <t>svetla mera 70/250 cm, zidarska mera 70/250,
okvir/obdelava: ALU profil; krilo/obdelava: HPL plošča, d= 8 mm
OP.: suhomontažna izvedba vrat, vpenjanje v strop in tla.</t>
    </r>
  </si>
  <si>
    <r>
      <t xml:space="preserve">POZ PS2 dim 80/250 - pregradna stena v kopalnici:
</t>
    </r>
    <r>
      <rPr>
        <sz val="11"/>
        <rFont val="Calibri"/>
        <family val="2"/>
      </rPr>
      <t>svetla mera 80/250 cm, zidarska mera 80/250,
okvir/obdelava: ALU profil; krilo/obdelava: HPL plošča, d= 8 mm
OP.: suhomontažna izvedba vrat, vpenjanje v strop in tla.</t>
    </r>
  </si>
  <si>
    <r>
      <t xml:space="preserve">POZ PS3 dim 90/250 - pregradna stena v kopalnici:
</t>
    </r>
    <r>
      <rPr>
        <sz val="11"/>
        <rFont val="Calibri"/>
        <family val="2"/>
      </rPr>
      <t>svetla mera 90/250 cm, zidarska mera 90/250,
okvir/obdelava: ALU profil; krilo/obdelava: HPL plošča, d= 8 mm
OP.: suhomontažna izvedba vrat, vpenjanje v strop in tla.</t>
    </r>
  </si>
  <si>
    <t>a.1.8</t>
  </si>
  <si>
    <r>
      <t>m</t>
    </r>
    <r>
      <rPr>
        <b/>
        <vertAlign val="superscript"/>
        <sz val="10"/>
        <rFont val="Calibri"/>
        <family val="2"/>
      </rPr>
      <t>3</t>
    </r>
  </si>
  <si>
    <r>
      <t>m</t>
    </r>
    <r>
      <rPr>
        <b/>
        <vertAlign val="superscript"/>
        <sz val="10"/>
        <rFont val="Calibri"/>
        <family val="2"/>
      </rPr>
      <t>2</t>
    </r>
  </si>
  <si>
    <r>
      <t>m</t>
    </r>
    <r>
      <rPr>
        <b/>
        <vertAlign val="superscript"/>
        <sz val="10"/>
        <rFont val="Calibri"/>
        <family val="2"/>
      </rPr>
      <t>1</t>
    </r>
  </si>
  <si>
    <r>
      <t>m</t>
    </r>
    <r>
      <rPr>
        <b/>
        <vertAlign val="superscript"/>
        <sz val="10"/>
        <rFont val="Calibri"/>
        <family val="2"/>
      </rPr>
      <t>3</t>
    </r>
  </si>
  <si>
    <r>
      <t>m</t>
    </r>
    <r>
      <rPr>
        <b/>
        <vertAlign val="superscript"/>
        <sz val="10"/>
        <rFont val="Calibri"/>
        <family val="2"/>
      </rPr>
      <t>1</t>
    </r>
  </si>
  <si>
    <r>
      <rPr>
        <b/>
        <sz val="11"/>
        <rFont val="Calibri"/>
        <family val="2"/>
      </rPr>
      <t xml:space="preserve">AB plošča nad dvigalnim jaškom: </t>
    </r>
    <r>
      <rPr>
        <sz val="11"/>
        <rFont val="Calibri"/>
        <family val="2"/>
      </rPr>
      <t>Dobava in vgrajevanje betona C25/30; prereza 0,12 - 0,20 m</t>
    </r>
    <r>
      <rPr>
        <vertAlign val="superscript"/>
        <sz val="11"/>
        <rFont val="Calibri"/>
        <family val="2"/>
      </rPr>
      <t>3</t>
    </r>
    <r>
      <rPr>
        <sz val="11"/>
        <rFont val="Calibri"/>
        <family val="2"/>
      </rPr>
      <t>/m</t>
    </r>
    <r>
      <rPr>
        <vertAlign val="superscript"/>
        <sz val="11"/>
        <rFont val="Calibri"/>
        <family val="2"/>
      </rPr>
      <t>2</t>
    </r>
  </si>
  <si>
    <r>
      <rPr>
        <b/>
        <sz val="12"/>
        <rFont val="Calibri"/>
        <family val="2"/>
      </rPr>
      <t>Opaž AB sten dvigalnega jaška</t>
    </r>
    <r>
      <rPr>
        <sz val="11"/>
        <rFont val="Calibri"/>
        <family val="2"/>
      </rPr>
      <t xml:space="preserve"> (vkopane stene) po principu ("BELA KAD"), d= 20,00 cm; višina podpiranja h= do 1,10 m (izvedba vodotesnih sten do kote -2,93 - glej detajl - prerez), z montažo in demontažo opaža, čiščenjem po končanih delih in vsemi pomožnimi deli, prenosi in transporti do mesta vgrajevanja.</t>
    </r>
  </si>
  <si>
    <r>
      <rPr>
        <b/>
        <sz val="12"/>
        <rFont val="Calibri"/>
        <family val="2"/>
      </rPr>
      <t>Fasadni odri kovinske izvedbe;</t>
    </r>
    <r>
      <rPr>
        <b/>
        <sz val="11"/>
        <rFont val="Calibri"/>
        <family val="2"/>
      </rPr>
      <t xml:space="preserve">  </t>
    </r>
    <r>
      <rPr>
        <sz val="11"/>
        <rFont val="Calibri"/>
        <family val="2"/>
      </rPr>
      <t>Montaža in demontaža fasadnih  odrov višine do 20 m, z napravo podstavka za oder, prenosom materiala do mesta montaže, čiščenjem elementov po končani uporabi in vsemi pomožnimi deli po opisu iz splošnih določil za tesarska dela. Amortizacijska doba  90 dni - oder za enostavno fasado. V ceni odra mora biti zajeta tudi potrebna varnostna ograja in potrebne ozemljitve odra, ter vsi potrebni dostopi na oder v vsaki etaži.</t>
    </r>
  </si>
  <si>
    <t>Montaža in demontaža opaža AB zunanjih stopnic.; z montažo in demontažo po končanih delih.</t>
  </si>
  <si>
    <r>
      <rPr>
        <b/>
        <sz val="12"/>
        <rFont val="Calibri"/>
        <family val="2"/>
      </rPr>
      <t xml:space="preserve">Vrtanje odprtin </t>
    </r>
    <r>
      <rPr>
        <sz val="11"/>
        <rFont val="Calibri"/>
        <family val="2"/>
      </rPr>
      <t>v obstoječih zidov za potrebe instalacij (prezračevanje pod stropom) in obdelava odprtine po končanih instalacijskih delih, vključno z nakladanjem in odvozom ruševin v stalno deponijo z vsemi stroški. Deponija oddaljena do 10 km. Vrtanje v obstoječih obodnih zidovih. V ceni morajo biti zajeta vsa pomožna dela in prenos potrebnih delovnih odrov.</t>
    </r>
  </si>
  <si>
    <t>Opomba: splošni opis za izdelavo cementih estrihov :
kompletna izdelava mikroarmiranih cementnih estrihov C20/25, armirani z mikroarmatura PP, vsebnost 0.95 kg/m2, npr.: FIBRILs F 120 ali enakovredno. Estrihi so po obodu dilatirani s stiropor trakom debeline min. 1,00 cm. Površina mora biti ravna po DIN 18202 za stanovanjske zgradbe.</t>
  </si>
  <si>
    <r>
      <t>a./ Dobava in vgrajevanje toplotne izolacije (</t>
    </r>
    <r>
      <rPr>
        <sz val="11"/>
        <rFont val="Calibri"/>
        <family val="2"/>
      </rPr>
      <t>λR= 0,036 W/(m.K), ρ= 100 kg/m</t>
    </r>
    <r>
      <rPr>
        <vertAlign val="superscript"/>
        <sz val="11"/>
        <rFont val="Calibri"/>
        <family val="2"/>
      </rPr>
      <t>3</t>
    </r>
    <r>
      <rPr>
        <sz val="11"/>
        <rFont val="Calibri"/>
        <family val="2"/>
      </rPr>
      <t>), npr.: kamena volna po SIST EN 13162, lepljena in sidrana v obstoječa steno z nerjavečimi sidri po tehničnih navodilih proizvajalca, npr.: KNAUF INSULATION FKD-S ali enakovredno, d= 16,00 cm
b./  Zaključni sloj: kontaktna tankoslojna fasada - tekstura po izboru arhitekta.</t>
    </r>
  </si>
  <si>
    <t>Finalno slikanje AB stene zaklonišča s predhodnim čiščenjem obstoječe površine ter finalno slikanje površin s fasadno akrilno barvo v tonu po izboru arhitekta, ostalo enako - slikanje sten na zunanji strani</t>
  </si>
  <si>
    <t>Talna keramika - kopalnice in sanitarije (stanovanja). Polaganje na cement/akrilatno lepilo na že fino pripravljeno podlago. Keramika velikosti 20 x 20 cm; fuge širine 3 mm, fugiranje z vodoodporno fugirno maso. Barva po izboru arhitekta</t>
  </si>
  <si>
    <t>Talna keramika: hodniki in skupni prostori. V ceni zajeti tudi nizkostensko obrobo; ostalo enako kot postavka b.5.1</t>
  </si>
  <si>
    <t>Talna keramika v kleti - zunanji hodnik; opis enak kot pod točko b.5.1</t>
  </si>
  <si>
    <t>Obloga nastopnih ploskev stopnic (ploščice s protidrsnim robom). Polaganje ploščic dim 20 x 20 cm;  v sloj cementne malte d = 3,00 cm; fuge širine 3 mm; fugiranje z vodoodporno fugirno maso. Barva po izbiri arhitekta.</t>
  </si>
  <si>
    <t>Obloga čelnih stranic zunanjih stopnic - polaganje na lepilo cement/akrilatno lepilo; ostalo enako kot postavka b.5.3-1</t>
  </si>
  <si>
    <t>Dobava in polaganje talnih keramičnihi ploščic - protidrsne - lepljene na že pripravljeno podlago s cement akrilatnim lepilom in fugiranjem stikov z vodoodporno fugirno maso. Lepilo zmrzlinsko odporno. Balkoni, II. In III. ND,</t>
  </si>
  <si>
    <t>Stenska keramika - obloga do stropa. Dobava in polaganje stenskih keramičnih pločic dim: 20 x 20, polaganje na lepilo na že fino pripravljeno podlago, fuge širine 3 mm; fugiranje z vodoodporno fugirno maso.</t>
  </si>
  <si>
    <r>
      <rPr>
        <b/>
        <sz val="11"/>
        <rFont val="Calibri"/>
        <family val="2"/>
      </rPr>
      <t>Predpražnik - ALU gumi dim 60 x 120 cm;</t>
    </r>
    <r>
      <rPr>
        <sz val="11"/>
        <rFont val="Calibri"/>
        <family val="2"/>
      </rPr>
      <t xml:space="preserve">
Vhodni predpražnik iz ALU profilov višine 22 mm, kombinacija gume, ščetk in kovinskih profilov, vstavljen v INOX okvir l 30 x 30 x 4 mm ( vgradnja INOx okvirjev ob betoniranju AB plošče ), barva in tip predpražnika po izboru arhitekta.</t>
    </r>
  </si>
  <si>
    <t>Poštni nabiralnik. - tipske izvedbe - INOX material - omarica za vsako stanovanje + hišnik =  24 +1</t>
  </si>
  <si>
    <t>Konzola za zastavo - INOX izvedbe: izdeloava, dobava in montaža  - pri vhodu</t>
  </si>
  <si>
    <t>Skupaj razna obrtniška dela :</t>
  </si>
  <si>
    <t>Požarni red v vsaki etaži; izdelava, dobava in montaža</t>
  </si>
  <si>
    <r>
      <t xml:space="preserve">Rušenje obstoječih dreves z odstranitvijo vseh korenin, nakladanje in odvoz v stalno deponijo, oddaljeno do 10 km, ostalo enako kot pod točko 3. Drevesa </t>
    </r>
    <r>
      <rPr>
        <sz val="11"/>
        <rFont val="Calibri"/>
        <family val="2"/>
      </rPr>
      <t xml:space="preserve">Φ </t>
    </r>
  </si>
  <si>
    <r>
      <rPr>
        <b/>
        <sz val="11"/>
        <rFont val="Calibri"/>
        <family val="2"/>
      </rPr>
      <t>Obnova cvetličnega korita:</t>
    </r>
    <r>
      <rPr>
        <sz val="11"/>
        <rFont val="Calibri"/>
        <family val="2"/>
      </rPr>
      <t xml:space="preserve">
Čiščenje AB površine in izdelava slojev v sestavi:</t>
    </r>
  </si>
  <si>
    <r>
      <t>Premaz AB površine na notranji strani z hladnim premazom IBITOL - s povprečno porabo 0,30 kg/m</t>
    </r>
    <r>
      <rPr>
        <vertAlign val="superscript"/>
        <sz val="11"/>
        <rFont val="Calibri"/>
        <family val="2"/>
      </rPr>
      <t>2</t>
    </r>
    <r>
      <rPr>
        <sz val="11"/>
        <rFont val="Calibri"/>
        <family val="2"/>
      </rPr>
      <t>.</t>
    </r>
  </si>
  <si>
    <r>
      <t xml:space="preserve">Planiranje in valjanje planuma spodnjega ustroja v območju utrjenih površin s točnostjo </t>
    </r>
    <r>
      <rPr>
        <sz val="11"/>
        <rFont val="Calibri"/>
        <family val="2"/>
      </rPr>
      <t>± 2,00 cm. Nagib planuma 1,5%.</t>
    </r>
  </si>
  <si>
    <r>
      <t xml:space="preserve">Fino planiranje površin pred vgrajevanjem asfalta. Pesek 0 - 4 mm; planiranje s točnostjo </t>
    </r>
    <r>
      <rPr>
        <sz val="11"/>
        <rFont val="Calibri"/>
        <family val="2"/>
      </rPr>
      <t>± 1,00 cm.</t>
    </r>
  </si>
  <si>
    <r>
      <rPr>
        <b/>
        <sz val="11"/>
        <rFont val="Calibri"/>
        <family val="2"/>
      </rPr>
      <t>Tlak na odjemnem mestu za smeti:</t>
    </r>
    <r>
      <rPr>
        <sz val="11"/>
        <rFont val="Calibri"/>
        <family val="2"/>
      </rPr>
      <t xml:space="preserve">
Kompletna izdelava tlaka v sestavi:
- planiranje terena pred vgrajevanjem tampona
- dobava in vgrajevanje ločilnega sloja iz geotekstila, npr.: POLYFELT TS 30 ali enakovredno
- dobava in vgrajevanje gramoznega tampona granulacije 0 - 32 mm, v debelini 30,00 cm; utrjevanje do predpisane zbitosti - tampon z dodatki za zmrzlinsko odpornost
- dobava in vgrajevanje betona C25/30 z dodatki za zmrzlinsko odpornost - metliček beton - armiran z armaturno mrežo Q323; AB konstrukcija prereza 0,12 - 0,20 m</t>
    </r>
    <r>
      <rPr>
        <vertAlign val="superscript"/>
        <sz val="11"/>
        <rFont val="Calibri"/>
        <family val="2"/>
      </rPr>
      <t>3</t>
    </r>
    <r>
      <rPr>
        <sz val="11"/>
        <rFont val="Calibri"/>
        <family val="2"/>
      </rPr>
      <t>/m</t>
    </r>
    <r>
      <rPr>
        <vertAlign val="superscript"/>
        <sz val="11"/>
        <rFont val="Calibri"/>
        <family val="2"/>
      </rPr>
      <t>2</t>
    </r>
    <r>
      <rPr>
        <sz val="11"/>
        <rFont val="Calibri"/>
        <family val="2"/>
      </rPr>
      <t>; z vsemi pomožnimi deli, prenosi in transporti do mesta vgrajevanja.</t>
    </r>
  </si>
  <si>
    <r>
      <rPr>
        <b/>
        <sz val="11"/>
        <rFont val="Calibri"/>
        <family val="2"/>
      </rPr>
      <t>Prometna signalizacija:</t>
    </r>
    <r>
      <rPr>
        <sz val="11"/>
        <rFont val="Calibri"/>
        <family val="2"/>
      </rPr>
      <t xml:space="preserve">
</t>
    </r>
  </si>
  <si>
    <r>
      <rPr>
        <b/>
        <sz val="11"/>
        <rFont val="Calibri"/>
        <family val="2"/>
      </rPr>
      <t>Označba parkirišč:</t>
    </r>
    <r>
      <rPr>
        <sz val="11"/>
        <rFont val="Calibri"/>
        <family val="2"/>
      </rPr>
      <t xml:space="preserve">
kompletna izdelava označb parkirišč, vključno z zarisovanjem parkirnih mest z enokomponentno belo barvo, debelina plasti suhe snovi 200 </t>
    </r>
    <r>
      <rPr>
        <sz val="11"/>
        <rFont val="Calibri"/>
        <family val="2"/>
      </rPr>
      <t>μm; širina črt 10,00 cm.</t>
    </r>
  </si>
  <si>
    <r>
      <rPr>
        <b/>
        <sz val="11"/>
        <rFont val="Calibri"/>
        <family val="2"/>
      </rPr>
      <t>Gugalnica (dvoslojna gugalnica):</t>
    </r>
    <r>
      <rPr>
        <sz val="11"/>
        <rFont val="Calibri"/>
        <family val="2"/>
      </rPr>
      <t xml:space="preserve">
gugalnica namenjena otrokom od 3. - 12. leta. Max višina pada 100 cm. Varnostna površina 710 x 361 cm. Kompletna izdelava in montaža gugalnice. Pokončni nosilci so izdelani iz lepljencev barvanega lesa, zaščiteni z osnovno impregnacijo ter lakiran s 3-slojnim, za zdravju neškodljivim akrilnim premazom. Povezave elementov so izvedene z galvaniziranim protirjavenju zaščitenim vijačnim okovjem, opremeljnim z varovalnimi maticami. Nosilni prečnik izdelan iz galvaniziranega cevnega materiala. Igralo montirano an podalgo s pomočjo galvaniziranih kovinskih sider, ki so vbetonirane v AB temelj. V ceni mora biti zajeta tudi izvedba potrebnega temelja z vsemi pripadajočimi deli in dobavo betona C25/30, beton je zmrzlinsko odporen.</t>
    </r>
  </si>
  <si>
    <r>
      <t xml:space="preserve">POZ V2 dim 80/210 - notranja vrata v kopalnice:
</t>
    </r>
    <r>
      <rPr>
        <sz val="11"/>
        <rFont val="Calibri"/>
        <family val="2"/>
      </rPr>
      <t>svetla mera 80/210 cm, zidarska mera 90/215, debelina stene 10 cm: okvir/obdelava: kovinski; krilo/obdelava: leseno, pleskano
okovje: kromirano; ključavnica: navadna
OP.: suhomontažna izvedba vrat, v vratih prezračevalna rešetka PVC 400x75, po projektu strojnih instalacij.</t>
    </r>
  </si>
  <si>
    <r>
      <t>POZ V15 dim 80/210 - vrata v sušilnico - EI</t>
    </r>
    <r>
      <rPr>
        <b/>
        <vertAlign val="subscript"/>
        <sz val="11"/>
        <rFont val="Calibri"/>
        <family val="2"/>
      </rPr>
      <t>2</t>
    </r>
    <r>
      <rPr>
        <b/>
        <sz val="11"/>
        <rFont val="Calibri"/>
        <family val="2"/>
      </rPr>
      <t xml:space="preserve">30-C2:
</t>
    </r>
    <r>
      <rPr>
        <sz val="11"/>
        <rFont val="Calibri"/>
        <family val="2"/>
      </rPr>
      <t>svetla mera 80/210 cm, zidarska mera 90/215, debelina stene 10 cm: okvir/obdelava: kovinski, pleskan; krilo/obdelava: masivno leseno krilo, obdelano s HDF furnirjem
okovje: kromirano, 3x nasadilo; ključavnica: clindrična, kromirana
OP.: požarna vrata EI</t>
    </r>
    <r>
      <rPr>
        <vertAlign val="subscript"/>
        <sz val="11"/>
        <rFont val="Calibri"/>
        <family val="2"/>
      </rPr>
      <t>2</t>
    </r>
    <r>
      <rPr>
        <sz val="11"/>
        <rFont val="Calibri"/>
        <family val="2"/>
      </rPr>
      <t>30-C2, vgrajeno samozapiralo na strani, kjer ni nasadil, suhomtažna izvedba vrat.</t>
    </r>
  </si>
  <si>
    <r>
      <t xml:space="preserve">POZ VD dim 80/210 - notranja vrata - drsna:
</t>
    </r>
    <r>
      <rPr>
        <sz val="11"/>
        <rFont val="Calibri"/>
        <family val="2"/>
      </rPr>
      <t>svetla mera 85/210 cm, zidarska mera 85/210, debelina stene 10 cm: okvir/obdelava: lesen, pleskan; krilo/obdelava: leseno krilo, pleskano
okovje: kaseta z mehanizmom za vgradnjo v steno
OP.: suhomtažna izvedba vrat.</t>
    </r>
  </si>
  <si>
    <r>
      <t xml:space="preserve">POZ O5 dim 123/153 - okno v beli barvi, RAL vgradnja:
</t>
    </r>
    <r>
      <rPr>
        <sz val="11"/>
        <rFont val="Calibri"/>
        <family val="2"/>
      </rPr>
      <t>zidarska mera 83/93,: okvir/obdelava: PVC, 5 komorni profil; krilo/obdelava: PVC, 5 komorni profil, dvoslojni termopan 4/16/4, U</t>
    </r>
    <r>
      <rPr>
        <vertAlign val="subscript"/>
        <sz val="11"/>
        <rFont val="Calibri"/>
        <family val="2"/>
      </rPr>
      <t>g</t>
    </r>
    <r>
      <rPr>
        <sz val="11"/>
        <rFont val="Calibri"/>
        <family val="2"/>
      </rPr>
      <t>= 1,1W/m</t>
    </r>
    <r>
      <rPr>
        <vertAlign val="superscript"/>
        <sz val="11"/>
        <rFont val="Calibri"/>
        <family val="2"/>
      </rPr>
      <t>2</t>
    </r>
    <r>
      <rPr>
        <sz val="11"/>
        <rFont val="Calibri"/>
        <family val="2"/>
      </rPr>
      <t>K, U</t>
    </r>
    <r>
      <rPr>
        <vertAlign val="subscript"/>
        <sz val="11"/>
        <rFont val="Calibri"/>
        <family val="2"/>
      </rPr>
      <t>W</t>
    </r>
    <r>
      <rPr>
        <sz val="11"/>
        <rFont val="Calibri"/>
        <family val="2"/>
      </rPr>
      <t>= 1,3 W/m</t>
    </r>
    <r>
      <rPr>
        <vertAlign val="superscript"/>
        <sz val="11"/>
        <rFont val="Calibri"/>
        <family val="2"/>
      </rPr>
      <t>2</t>
    </r>
    <r>
      <rPr>
        <sz val="11"/>
        <rFont val="Calibri"/>
        <family val="2"/>
      </rPr>
      <t>K, g= 0,15
okovje: kromirano; odpiranje: klasično; senčilo: podometna nadokenska izolativna roleta; police: notranja polica PVC, zunanja prešana pločevina
OP.: ustrezen tesnilni material, pozicija elementov je razvidna iz načrta arhitekture.</t>
    </r>
  </si>
  <si>
    <r>
      <t xml:space="preserve">POZ STREŠNO OKNO - strešno okno za odvod dima in toplote:
</t>
    </r>
    <r>
      <rPr>
        <sz val="11"/>
        <rFont val="Calibri"/>
        <family val="2"/>
      </rPr>
      <t>svetla mera geometrična odprtina za odvod dima min 1,00 m</t>
    </r>
    <r>
      <rPr>
        <vertAlign val="superscript"/>
        <sz val="11"/>
        <rFont val="Calibri"/>
        <family val="2"/>
      </rPr>
      <t>2</t>
    </r>
    <r>
      <rPr>
        <sz val="11"/>
        <rFont val="Calibri"/>
        <family val="2"/>
      </rPr>
      <t xml:space="preserve">; </t>
    </r>
    <r>
      <rPr>
        <sz val="11"/>
        <rFont val="Calibri"/>
        <family val="2"/>
      </rPr>
      <t>zidarska mera 114/140,: okvir/obdelava: les, obdelan s poliuretanom; krilo/obdelava: les, obdelan s poliuretanom
okovje: kovinsko; obloga špaleta/obdelava: požarno odporne gips plošče
OP.: okno s kontrolno enoto (24V) z vgrajenim zasilnim stikalom, detektorjem dima in dodatnim zasilnim stikalom, zagotavljanje delovanja tudi ob izpadu električne energije.</t>
    </r>
  </si>
  <si>
    <t>FINALNI TLAKI - PARKET</t>
  </si>
  <si>
    <t>Skupaj  finalni tlaki parket :</t>
  </si>
  <si>
    <t>RAZNA OBRTNIŠKA DELA:</t>
  </si>
  <si>
    <t>b.11.1</t>
  </si>
  <si>
    <t>b.11.2</t>
  </si>
  <si>
    <t>b.11.3</t>
  </si>
  <si>
    <t>b.11.4</t>
  </si>
  <si>
    <t>b.11.5</t>
  </si>
  <si>
    <t>B.12</t>
  </si>
  <si>
    <t>Zapiralo vrat z ročico za požarna/dimotesna skladno z EN1154. Zapiralo pritrjeno na podboj vrat preko montažne plošče (minimalna višina za montažo zapirala na podboju mora biti 70mm). Omogočena nastavitev moči zapiranja 2-4 po EN1154A, hitrost zapiranja in končni moment zapiranja. Montaža na nasprotni strani nasadil. (kot naprimer GEZE TS 2000 NV)</t>
  </si>
  <si>
    <t>Zapiralo</t>
  </si>
  <si>
    <t>Ročica</t>
  </si>
  <si>
    <t>Montažna plošča</t>
  </si>
  <si>
    <t>Prostor snažilke -  V8, samozapiralo GEZE TS2000NV</t>
  </si>
  <si>
    <t>Toplotna postaja -  V7, samozapiralo GEZE TS2000NV</t>
  </si>
  <si>
    <t>Vrata v prostor shramb - V9, samozapiralo GEZE TS2000NV</t>
  </si>
  <si>
    <t>Vrata ki razmejujejo hodnik in stopnišče - V4, samozapiralo GEZE TS4000</t>
  </si>
  <si>
    <t>Zapiralo vrat z ročico za požarna/dimotesna skladno z EN1154. Zapiralo pritrjeno na podboj vrat preko montažne plošče (minimalna višina za montažo zapirala na podboju mora biti 70mm). Omogočena nastavitev moči zapiranja 1-6 po EN1154A, hitrost zapiranja in končni moment zapiranja. Montaža na nasprotni strani nasadil. (kot naprimer GEZE TS 4000)</t>
  </si>
  <si>
    <t>Zapiralo z ročico</t>
  </si>
  <si>
    <t>Vrata v predprostor pri dvigalu s krilno avtomatiko - V5.3</t>
  </si>
  <si>
    <t>A</t>
  </si>
  <si>
    <t>B</t>
  </si>
  <si>
    <t>Senzor gibanja za krmlijenje/sprožitev odprianja vrat iz notranjosti prostora (kot naprimer GEZE GC 302 R).</t>
  </si>
  <si>
    <t>C</t>
  </si>
  <si>
    <t>Elektro ključavnica (kot naprimer GEZE Lock Switch contact Model 878)</t>
  </si>
  <si>
    <t>D</t>
  </si>
  <si>
    <t xml:space="preserve">Samostojni pristopni kontroler s čitalnikom brezkontaktnih kartic in obeskov, široko ohišje tipa A, za do 500 uporabnikov (kartic/obeskov), bralna frekvenca 125kHz, bralna razdalja do 15cm, LED za signalizacijo stanja (utripajoča rdeča/zelena - zaklenjeno, zelena odklenjeno), IP65 zaščita, dim. 120x96x15mm, delovna temperatura od -20 do +70°C, zunanje napajanje (9-14V DC), (kot naprimer REX A-1-7). </t>
  </si>
  <si>
    <t>Brezkontaktna ISO kartica, bralna frekvenca 125kHz, (kot naprimer REX CARD C-1)</t>
  </si>
  <si>
    <r>
      <t>Pogon za avtomatizacijo odpiranja/zapiranja krilnih vrat z ročico, brezstopenjska nastavitev moči zapiranja v razponu od 3-6 po EN1154. Brezstopenjska nastavitev hitrosti odpiranja in zapiranja, zakasnitve pričetka aktivacije/odpiranja v razponu od 0-20s, pridržanje odprtosti vrat v razponu od 0-60s. Največji kot odpiranja vrat 115</t>
    </r>
    <r>
      <rPr>
        <sz val="11"/>
        <color indexed="8"/>
        <rFont val="Calibri"/>
        <family val="2"/>
      </rPr>
      <t>°. Maksimalna širina vratnega krila 1400mm in teže krila do 230kg. Kot predvideno v tem primeru vgradnja pogona na strani predprostora pred dvigalom (vgradnja pogona na nasprotni strani pantov) potrebna višina za vgradnjo pogona znaša 75mm na okviru vrat in 47mm na vratnem krilu. Napajanje pogona 230V AC 50HZ (kot naprimer GEZE EMD z ročico).</t>
    </r>
  </si>
  <si>
    <t>Vhodna vrata v vetrolov - V5.2, samozapiralo GEZE TS4000</t>
  </si>
  <si>
    <t>Vrata iz vetrolova v stopnišče - V5.1, samozapiralo GEZE TS4000</t>
  </si>
  <si>
    <t>Električna ključavniča za odpiranje vhodnih vrat s strani stanovalcev preko domofona. Napajanje 12/24V, sila pridržanja vrat 5.000N (kot naprimer GEZE IQ eStrike A5000--B)</t>
  </si>
  <si>
    <r>
      <t xml:space="preserve">POZ V10 dim 90/210 - vhodna vrata v kleti: </t>
    </r>
    <r>
      <rPr>
        <sz val="11"/>
        <rFont val="Calibri"/>
        <family val="2"/>
      </rPr>
      <t>svetla mera 90/210 cm, zidarska mera 100/215, debelina stene 45 cm
okvir/obdelava: ALU, barvan; krilo/obdelava: ALU, U= 1,2 W/m</t>
    </r>
    <r>
      <rPr>
        <vertAlign val="superscript"/>
        <sz val="11"/>
        <rFont val="Calibri"/>
        <family val="2"/>
      </rPr>
      <t>2</t>
    </r>
    <r>
      <rPr>
        <sz val="11"/>
        <rFont val="Calibri"/>
        <family val="2"/>
      </rPr>
      <t>K
okovje: kromirano, 3x nasadilo; ključavnica: clindrična
OP.: vgrajeno samozapiralo na strani, suhomontažna izvedba vrat.</t>
    </r>
  </si>
  <si>
    <t>Vrata iz stopnišča v prostor sušilnica - V15, samozapiralo GEZE TS2000NV</t>
  </si>
  <si>
    <t>Vrata v zaklonišče - V12, samozapiralo GEZE TS2000NV</t>
  </si>
  <si>
    <r>
      <rPr>
        <b/>
        <sz val="11"/>
        <rFont val="Calibri"/>
        <family val="2"/>
      </rPr>
      <t xml:space="preserve">Kovinske ograje: </t>
    </r>
    <r>
      <rPr>
        <sz val="11"/>
        <rFont val="Calibri"/>
        <family val="2"/>
      </rPr>
      <t xml:space="preserve">Izdelava, dobava in montaža kovinskih ograj izdelanih po detajlu arhitekta. Nosilna horizontalna in vertikalna Fe konstrukcija iz Fe cevi </t>
    </r>
    <r>
      <rPr>
        <sz val="11"/>
        <rFont val="Calibri"/>
        <family val="2"/>
      </rPr>
      <t>Φ 50 mm, sidrane z nerjavečimi vijaki v AB konstrukcijo. Polnilo iz Fe ploščatega železa dim 30/5 mm. Polnilo je z RF vijaki sidrano v nosilni Fe okvir. Vsi kovinski deli so antikorozijsko zaščiteni in finalno pleskani v barvi po izboru arhitekta. Vse mere mora izvajalec kontrolirati na mestu samem pred izdelavo. V enotnih cenah morajo biti zajeta vsa pomožna dela, prenosi in transporti vsega potrebnega materiala do mesta vgrajevanja.</t>
    </r>
  </si>
  <si>
    <r>
      <rPr>
        <b/>
        <sz val="11"/>
        <rFont val="Calibri"/>
        <family val="2"/>
      </rPr>
      <t xml:space="preserve">Obstoječa stopniščna ograja (se ohrani): </t>
    </r>
    <r>
      <rPr>
        <sz val="11"/>
        <rFont val="Calibri"/>
        <family val="2"/>
      </rPr>
      <t>V ceni zajeti čiščenje vseh obstoječih elementov, struganje obstoječe barve, priprava elementov za ponovno finalno obdelavo - pleskanje v barvi po izboru arhitekta. V ceni zajeti tudi čiščenje lesenih horizontalnih elementov - brušenje in ponovna finalna obdelava v barvi po izboru arhitekta. V ceni zajeti vsa pomožna dela, prenose in transporte vsega materiala do mesta vgrajevanja.</t>
    </r>
  </si>
  <si>
    <r>
      <rPr>
        <b/>
        <sz val="12"/>
        <rFont val="Calibri"/>
        <family val="2"/>
      </rPr>
      <t>Nadstešpek nad vhodom:</t>
    </r>
    <r>
      <rPr>
        <sz val="11"/>
        <rFont val="Calibri"/>
        <family val="2"/>
      </rPr>
      <t xml:space="preserve">
Kompletna izvedba slojev strehe v sestavi:</t>
    </r>
  </si>
  <si>
    <t>Zgornji zaključek žlote; ALU pločevina r.š.= 25 cm, d= 1,50 mm; kompletno z vsem tesnilnim in pritrdilnim materialom. Vse mere mora izvajalec kontrolirati na mestu samem pred izdelavo in montažo.</t>
  </si>
  <si>
    <t>b.1.16</t>
  </si>
  <si>
    <t>Leseni opaž napuščev strehe: izdelava, dobava in montaža finalnega opaža lesenih napuščev strehe. Sidranje v obstoječo leseno strešno konstrukcijo. Leseni elementi so ustrezno zaščiteni in barvani v tonu po izboru arhitekta. Vse mere kontrolirasti na mestu samem pred izdelavo in montažo.</t>
  </si>
  <si>
    <t>horizontalni žleb - niša v mansardi; izdelava, dobava in montaža AL žleba r.š. do 30 cm; AL pločevina d = 0,75  mm; kompletno z vso potrebno kovinsko pocinkano podkonstrukcijo, ki se jo sidra v obstoječo konstrukcijo strehe. V ceni zajeti tudi demontažo obstoječega žleba, z odnosom v gradbiščno deponijo in odvozhom v stalno deponijo z vsemi stroški na deponiji</t>
  </si>
  <si>
    <t>a.0.24-1</t>
  </si>
  <si>
    <t>a.0.24-2</t>
  </si>
  <si>
    <r>
      <t>Rušenje - odstranitev lesenih vrat velikosti od 2 - 4 m</t>
    </r>
    <r>
      <rPr>
        <vertAlign val="superscript"/>
        <sz val="11"/>
        <rFont val="Calibri"/>
        <family val="2"/>
      </rPr>
      <t>2</t>
    </r>
    <r>
      <rPr>
        <sz val="11"/>
        <rFont val="Calibri"/>
        <family val="2"/>
      </rPr>
      <t>/kom.</t>
    </r>
  </si>
  <si>
    <r>
      <t>Rušenje - odstranitev lesenih vrat velikosti od 4 - 6 m</t>
    </r>
    <r>
      <rPr>
        <vertAlign val="superscript"/>
        <sz val="11"/>
        <rFont val="Calibri"/>
        <family val="2"/>
      </rPr>
      <t>2</t>
    </r>
    <r>
      <rPr>
        <sz val="11"/>
        <rFont val="Calibri"/>
        <family val="2"/>
      </rPr>
      <t>/kom.</t>
    </r>
  </si>
  <si>
    <t>Dobava in vgrajevanje odkapnega profila (ALU); r.š. = 7,50 cm; d = 1,50 mm - po obodu nadstreška.</t>
  </si>
  <si>
    <r>
      <t xml:space="preserve">Izvlečne stopnice dim: 70 x 120 cm ( svetla mera )  - dostop na podstrešje: </t>
    </r>
    <r>
      <rPr>
        <sz val="11"/>
        <rFont val="Calibri"/>
        <family val="2"/>
      </rPr>
      <t>dobava in montaža zložljivih stopnic - etažna višina do 300 cm; protipožarna odpotrnost EI 60; stopnice v pločevinastem sendviču za stropno namestitrev. Znotraj pokrova je toplotna izolacija in protipožarni vložek. Snedvič pokrov ima lesen okvir polnjen z izolacijskim materialom, ovit s pocinkano pločevino. Spodnji del je lakiran v beli barvi. Vse mere montrolirati na mestu samem pred izdelavo in montažo. V enotni ceni morajo biti zajeta vsa pomožna dela, prenosi in tarsnporti vsega potrebnega materiala do mesta mon taže.</t>
    </r>
  </si>
  <si>
    <t>b.3.20</t>
  </si>
  <si>
    <r>
      <t xml:space="preserve">Strešno okno za dostop na streho - dim: 70 x 120 cm;
</t>
    </r>
    <r>
      <rPr>
        <sz val="11"/>
        <rFont val="Calibri"/>
        <family val="2"/>
      </rPr>
      <t>izdelava, dobava in montaža strešnega okna - zasteklitev z izolacijskim steklom</t>
    </r>
    <r>
      <rPr>
        <sz val="12"/>
        <rFont val="Calibri"/>
        <family val="2"/>
      </rPr>
      <t xml:space="preserve"> U</t>
    </r>
    <r>
      <rPr>
        <sz val="10"/>
        <rFont val="Calibri"/>
        <family val="2"/>
      </rPr>
      <t>okna</t>
    </r>
    <r>
      <rPr>
        <sz val="11"/>
        <rFont val="Calibri"/>
        <family val="2"/>
      </rPr>
      <t xml:space="preserve"> = 1,60 W/m2.K; kaljeno steklo; odpiranje okna po detajlu izvajalca. Vse mere kontrolirati na mestu samem pred izdelavo in montažo. V ceni izdelave zajeti tudi potrebno leseno podkonstrukcijo za montažo okna, stranske obloge z izolacijo in strešne obrobe iz AL pločevine d = 0,60 mm; kompletno z vsemi pomožnimi deli, prenosi in transporti vsega materiala do mesta montaže.</t>
    </r>
  </si>
  <si>
    <r>
      <t>POZ V8 dim 80/210 - vhodna vrata v prostor snažilk - EI</t>
    </r>
    <r>
      <rPr>
        <b/>
        <vertAlign val="subscript"/>
        <sz val="11"/>
        <rFont val="Calibri"/>
        <family val="2"/>
      </rPr>
      <t>2</t>
    </r>
    <r>
      <rPr>
        <b/>
        <sz val="11"/>
        <rFont val="Calibri"/>
        <family val="2"/>
      </rPr>
      <t xml:space="preserve">30:
</t>
    </r>
    <r>
      <rPr>
        <sz val="11"/>
        <rFont val="Calibri"/>
        <family val="2"/>
      </rPr>
      <t>svetla mera 80/210 cm, zidarska mera 90/215, debelina stene 25 cm: okvir/obdelava: kovinski, pleskan; krilo/obdelava: masivno leseno krilo, obdelano s HDF furnirjem
okovje: kromirano, 3x nasadilo; ključavnica: clindrična, kromirana
OP.: požarna vrata EI</t>
    </r>
    <r>
      <rPr>
        <vertAlign val="subscript"/>
        <sz val="11"/>
        <rFont val="Calibri"/>
        <family val="2"/>
      </rPr>
      <t>2</t>
    </r>
    <r>
      <rPr>
        <sz val="11"/>
        <rFont val="Calibri"/>
        <family val="2"/>
      </rPr>
      <t>30, vgrajeno samozapiralo na strani, kjer ni nasadil, suhomontažna izvedba vrat.</t>
    </r>
  </si>
  <si>
    <t>b.7.2</t>
  </si>
  <si>
    <t>Obloga špalet stešnega okna za odvod dima; MK plošča na kovinski podkonstrukciji, stiki med ploščam i so bandažirani v kvaliteti K2, ostalo enako kotm postavka b.7.1</t>
  </si>
  <si>
    <t>b.6.9</t>
  </si>
  <si>
    <t xml:space="preserve">leseni deli: </t>
  </si>
  <si>
    <t>kovinki deli</t>
  </si>
  <si>
    <t>Čiščenje obstoječih balkonskih ograj ; kovinska konstrukcija in leseni deli. Očisti / odstraniti obstoječo barvo ter novo pleskanje kovinskih elementov in lakiranje lesenih delov v tonu po izboru arhitekta.</t>
  </si>
  <si>
    <t>a.4.18</t>
  </si>
  <si>
    <t>Linijska rešetka ( prostor v kleti med zaklonišče ); dolžine 2,10 m; širine 15 cm; kompletno z vsemi pomožnimi deli in izdelavo priključka na odvodno cev/ jašek - glej načrt kanalizacije in meteorne vode.</t>
  </si>
  <si>
    <t>Predelava Fe konstrukcije balkonov zaradi fasadne obloge</t>
  </si>
  <si>
    <t>ur</t>
  </si>
  <si>
    <r>
      <rPr>
        <b/>
        <sz val="11"/>
        <rFont val="Calibri"/>
        <family val="2"/>
      </rPr>
      <t>Strop nad zadnjo etažo:</t>
    </r>
    <r>
      <rPr>
        <sz val="11"/>
        <rFont val="Calibri"/>
        <family val="2"/>
      </rPr>
      <t xml:space="preserve">
kompletna izvedba v sestavi:
- dobava in polaganje parne zapore, npr.: KNAUF INSULATION LDS 100 ali enakovredno
- toplotna izolacija: (</t>
    </r>
    <r>
      <rPr>
        <sz val="11"/>
        <rFont val="Calibri"/>
        <family val="2"/>
      </rPr>
      <t>λR= 0,039 W/(m.K), ρ= 30 kg/m</t>
    </r>
    <r>
      <rPr>
        <vertAlign val="superscript"/>
        <sz val="11"/>
        <rFont val="Calibri"/>
        <family val="2"/>
      </rPr>
      <t>3</t>
    </r>
    <r>
      <rPr>
        <sz val="11"/>
        <rFont val="Calibri"/>
        <family val="2"/>
      </rPr>
      <t>), kamena volna po SIST EN 1362, npr.: KNAUF INSULATION DP-3 ali enakovredno, d= 24,00 cm; vgrajevanje v dveh slojih</t>
    </r>
  </si>
  <si>
    <r>
      <t>Vzidava omaric velikosti do 0,30 m</t>
    </r>
    <r>
      <rPr>
        <vertAlign val="superscript"/>
        <sz val="11"/>
        <rFont val="Calibri"/>
        <family val="2"/>
      </rPr>
      <t>2</t>
    </r>
    <r>
      <rPr>
        <sz val="11"/>
        <rFont val="Calibri"/>
        <family val="2"/>
      </rPr>
      <t>/kom; vključno z izdelavo odprtine v obstoječem zidu in finalna obdelava stika s fino cemento malto CM 1:2</t>
    </r>
  </si>
  <si>
    <t>Vzidava okvirja predpražnika (INOX) dim 100 x 80 cm; z obbetoniranjem z betonom C20</t>
  </si>
  <si>
    <r>
      <rPr>
        <b/>
        <sz val="12"/>
        <rFont val="Calibri"/>
        <family val="2"/>
      </rPr>
      <t>Opaž AB sten dvigalnega jaška nad koto kleti</t>
    </r>
    <r>
      <rPr>
        <sz val="11"/>
        <rFont val="Calibri"/>
        <family val="2"/>
      </rPr>
      <t xml:space="preserve"> (-2,93), z višino podpiranja h= do 3,00 m; d= 20,00 cm; ostalo enako kot postavka a.3.1.
OP.: odprtine za vrata se ne odštevajo, špalete se ne zaračunava posebej.</t>
    </r>
  </si>
  <si>
    <t>Odstranitev zemlje iz obstoječega cvetličnega korita z nakladanjem na transportno sredstvo in odovozom  v stalno deponijo, z vsemi stroški na deponiji - ročno nakladanje</t>
  </si>
  <si>
    <r>
      <rPr>
        <b/>
        <sz val="11"/>
        <rFont val="Calibri"/>
        <family val="2"/>
      </rPr>
      <t>stranske niše v mansardi:</t>
    </r>
    <r>
      <rPr>
        <sz val="11"/>
        <rFont val="Calibri"/>
        <family val="2"/>
      </rPr>
      <t xml:space="preserve">
Dobava in obloga površin s ploščami HPL, d= 8,00 mm; pritrjevanje na elseno podkonstrukcijo.</t>
    </r>
  </si>
  <si>
    <r>
      <rPr>
        <b/>
        <sz val="12"/>
        <rFont val="Calibri"/>
        <family val="2"/>
      </rPr>
      <t xml:space="preserve">Horizontalna hidroizolacija v pritličju vhodni del </t>
    </r>
    <r>
      <rPr>
        <sz val="11"/>
        <rFont val="Calibri"/>
        <family val="2"/>
      </rPr>
      <t>- dostavni plato: Kompletna izvedba talne hidroizolacije:
- hladni bitumenski premaz s porabo 0,30 kg/m</t>
    </r>
    <r>
      <rPr>
        <vertAlign val="superscript"/>
        <sz val="11"/>
        <rFont val="Calibri"/>
        <family val="2"/>
      </rPr>
      <t>2</t>
    </r>
    <r>
      <rPr>
        <sz val="11"/>
        <rFont val="Calibri"/>
        <family val="2"/>
      </rPr>
      <t xml:space="preserve"> - premaz obstoječe AB plošče s predhodnim čiščenjem površin
- dobava in vgrajevanje H.I. polimer bitumenska izolacija, enoslojna (aPP) po zahtevah DIN 18195 (del5), kakovost materiala po DIN 52133, npr.: SCUDOPLAST FCTR 180/4 TOP ali enakovredno. </t>
    </r>
  </si>
  <si>
    <r>
      <rPr>
        <b/>
        <sz val="11"/>
        <rFont val="Calibri"/>
        <family val="2"/>
      </rPr>
      <t xml:space="preserve">Robniki: </t>
    </r>
    <r>
      <rPr>
        <sz val="11"/>
        <rFont val="Calibri"/>
        <family val="2"/>
      </rPr>
      <t>Dobava in vgrajevanje tipskih cestnih robnikov dim 15/25 (zmrzlinsko odporni in odporni na soli); vgrajevanje v sloj betona C16/20; AB temelj s porabo betona do 0,04 m</t>
    </r>
    <r>
      <rPr>
        <vertAlign val="superscript"/>
        <sz val="11"/>
        <rFont val="Calibri"/>
        <family val="2"/>
      </rPr>
      <t>3</t>
    </r>
    <r>
      <rPr>
        <sz val="11"/>
        <rFont val="Calibri"/>
        <family val="2"/>
      </rPr>
      <t>/m</t>
    </r>
    <r>
      <rPr>
        <vertAlign val="superscript"/>
        <sz val="11"/>
        <rFont val="Calibri"/>
        <family val="2"/>
      </rPr>
      <t>1</t>
    </r>
    <r>
      <rPr>
        <sz val="11"/>
        <rFont val="Calibri"/>
        <family val="2"/>
      </rPr>
      <t>; stiki med elementi se fugirajo s fino cementno malto CM 1:2; z vsemi pomožnimi deli, prenosi in transporti vsega potrebnega materiala do mesta vgrajevanja.</t>
    </r>
  </si>
  <si>
    <r>
      <rPr>
        <b/>
        <sz val="11"/>
        <rFont val="Calibri"/>
        <family val="2"/>
      </rPr>
      <t xml:space="preserve">Tobogan: </t>
    </r>
    <r>
      <rPr>
        <sz val="11"/>
        <rFont val="Calibri"/>
        <family val="2"/>
      </rPr>
      <t>nosilna konstrukcija izdelana iz kovinskih profilov dim 80/80 mm; dvakratno barvan z UV odporno barvo.Vsi ploščati deli so izdelani iz vezanega lesa zaščitenega s premazom na osnovi poliestrske smole, z osnovno impregnacijo ter 3-slojnim dodatnim premazom za zdravju neškodljivimi akrilnimi premazi. Kovinski deli igrala so izdelani iz cevasstih materialov (32 mm), predhodno očiščeni ter razmaščeni ter nato barvani z dvoslojnim suhoprašnim barvanjem. Plastični deli (sedeži, zaščitni pokrov,...) so izdelani z brizganjem visoko odporne poliuretanske mase odporne tudi na UV žarčenje. Potrebna varnostna površina dim 703 x 428 cm tip igrala, npr.: "URBANA IGRALA" ali enakovredno.</t>
    </r>
  </si>
  <si>
    <t>Rušenje - odstranitev lesene strešne konstrukcije pod pločevinasto streho v mansardi in odstranitev lesenih opažev.</t>
  </si>
  <si>
    <t>Enako kot postavka a.0.24-1; le odstranitev obstoječega lesenega opaža napuščev</t>
  </si>
  <si>
    <r>
      <rPr>
        <b/>
        <sz val="11"/>
        <rFont val="Calibri"/>
        <family val="2"/>
      </rPr>
      <t>Nadstrešek mad vhodom:</t>
    </r>
    <r>
      <rPr>
        <sz val="11"/>
        <rFont val="Calibri"/>
        <family val="2"/>
      </rPr>
      <t xml:space="preserve">
Finalna obdelava stropne površine v sestavi:
- dobava in vgrajevanje T.I:  d= 10,00 cm - kamena volna lepljena in sidrana v AB ploščo z nerjavečimi sidri po nvodilih proizvajalca
- zaključni finalni tankoslojni fasadni omet - tekstura po izboru arhitekta.</t>
    </r>
  </si>
  <si>
    <r>
      <rPr>
        <b/>
        <sz val="11"/>
        <rFont val="Calibri"/>
        <family val="2"/>
      </rPr>
      <t>Poševna streha med oknom in žloto:</t>
    </r>
    <r>
      <rPr>
        <sz val="11"/>
        <rFont val="Calibri"/>
        <family val="2"/>
      </rPr>
      <t xml:space="preserve">
Obloga strešine z ALU pločevino, d= 1,50 mm; z vsem tesnilnim in pritrdilnim materialom; pritrjevanje na leseno podlago.</t>
    </r>
  </si>
  <si>
    <r>
      <t xml:space="preserve">POZ V13 dim 90/210 - vrata v prehodu ob objektu v kleti - NP:
</t>
    </r>
    <r>
      <rPr>
        <sz val="11"/>
        <rFont val="Calibri"/>
        <family val="2"/>
      </rPr>
      <t>svetla mera 90/210 cm, zidarska mera 100/180. d= 5 cm
okvir/obdelava: kovinski, pleskan; krilo/obdelava: kovinsko, pleskano : okovje: kromirano, 3x nasadilo; ključavnica: clindrična, kljuka po standardu EN179
OP.: suhomtažna izvedba vrat.</t>
    </r>
  </si>
  <si>
    <r>
      <t>POZ V12.1 dim 90/175 - vhodna vrata v zaklonišče - shrambe - EI</t>
    </r>
    <r>
      <rPr>
        <b/>
        <vertAlign val="subscript"/>
        <sz val="11"/>
        <rFont val="Calibri"/>
        <family val="2"/>
      </rPr>
      <t>2</t>
    </r>
    <r>
      <rPr>
        <b/>
        <sz val="11"/>
        <rFont val="Calibri"/>
        <family val="2"/>
      </rPr>
      <t xml:space="preserve">30-C2 NP: </t>
    </r>
    <r>
      <rPr>
        <sz val="11"/>
        <rFont val="Calibri"/>
        <family val="2"/>
      </rPr>
      <t>svetla mera 90/175 cm, zidarska mera 100/180
okvir/obdelava: kovinski, pleskan; krilo/obdelava: kovinsko s protipožarnim polnilom: okovje: kromirano, 3x nasadilo; ključavnica: clindrična, kljuka po standardu EN179
OP.: požarna vrata EI</t>
    </r>
    <r>
      <rPr>
        <vertAlign val="subscript"/>
        <sz val="11"/>
        <rFont val="Calibri"/>
        <family val="2"/>
      </rPr>
      <t>2</t>
    </r>
    <r>
      <rPr>
        <sz val="11"/>
        <rFont val="Calibri"/>
        <family val="2"/>
      </rPr>
      <t>30, vgrajeno samozapiralo, suhomtažna izvedba vrat.</t>
    </r>
  </si>
  <si>
    <r>
      <t xml:space="preserve">POZ V12.2 dim 90/175 - vrata v zaklonišče: </t>
    </r>
    <r>
      <rPr>
        <sz val="11"/>
        <rFont val="Calibri"/>
        <family val="2"/>
      </rPr>
      <t>svetla mera 90/175 cm, zidarska mera 100/180 :okvir/obdelava: kovinski, pleskan; krilo/obdelava: kovinsko
okovje: kromirano, 3x nasadilo; ključavnica: clindrična
OP.: suhomtažna izvedba vrat.</t>
    </r>
  </si>
  <si>
    <r>
      <rPr>
        <b/>
        <sz val="10"/>
        <rFont val="Calibri"/>
        <family val="2"/>
      </rPr>
      <t xml:space="preserve">Jeklena konstrukcija nadstreška nad stopniščem med objektom in zakloniščem: </t>
    </r>
    <r>
      <rPr>
        <sz val="10"/>
        <rFont val="Calibri"/>
        <family val="2"/>
      </rPr>
      <t>Jeklena konstrukcija sestavljena iz profilov IPE 120; vmesni profili - škatlasti Fe profil dim 80/80/5 mm; vertikalni elementi 80/80/5 mm; prečni nosilni profili strešne konstrukcije UNP 120 sidrani v AB obstoječo konstrukcijo z vijaki M14 in zalito z epoxy - na razdalji 120 cm. Vse mere mora izvajalec kontrolirati na mestu samem pred izdelavo. Izdelava celotne konstruckije po detajlu arhitekta. Vsi kovinski deli so antikorozijsko zaščiteni in finalno pleskani v kvalitetni barvi po izboru arhitekta. V enotnih cenah morajo biti zajeta vsa pomožna dela, prenosi in transporti vsega potrebenga materiala do mesta montaže. V enotni ceni zajeti tudi pomožne delovne odre za montažo elementov max h= do 4,05 m.</t>
    </r>
  </si>
  <si>
    <t>Gasilni aparat - monntirani v vsaki etaži - na prah 12 EG</t>
  </si>
  <si>
    <t xml:space="preserve">utori dim do 20 x 5 cm </t>
  </si>
  <si>
    <t>Zazidava  utorov v opečnih stenah za potrebe elektroinstalacij in zazidava po končanih delih.</t>
  </si>
  <si>
    <t>a.6.10.</t>
  </si>
  <si>
    <t>Finalna obdelava podstavka fasade po sistemu " kulirplas" - granulacija in tekstuura po izboru arhitekta, kompletno z vsemi pomožni deli in prenosi na objektu do mdesta vgrajevanja.</t>
  </si>
  <si>
    <t>REKAPITULACIJA ELEKTRIČNIH INSTALACIJ</t>
  </si>
  <si>
    <t>€ skupaj</t>
  </si>
  <si>
    <t>I.</t>
  </si>
  <si>
    <t>IV.</t>
  </si>
  <si>
    <t>V.</t>
  </si>
  <si>
    <t>VI.</t>
  </si>
  <si>
    <t>VII.</t>
  </si>
  <si>
    <t>SKUPAJ:</t>
  </si>
  <si>
    <t>OPOMBA:</t>
  </si>
  <si>
    <t xml:space="preserve">Navedena oprema oz. material je informativnega značaja, ki odgovarja zahtevani kvaliteti. Če bo ponujena drugačna oprema oz. material, mora biti enake ali boljše kvalitete.
</t>
  </si>
  <si>
    <t>Če se ugotovi, da je ponujena oprema oz. materiali slabše kvalitete kot projektirano oziroma ne dosega zahtevane parametre, bo izvajalec vgradil opremo oz. materiale po projektni dokumentaciji.</t>
  </si>
  <si>
    <t xml:space="preserve">Ker je gradnja individualna smo predvideli za prostore samo izpuste za svetilke, svetilke same izbere investitor ali arhitekt  pri tem je potrebno upoštevati minimalne zahteve po osvetljenosti za posamezne prostore in IP zaščite za prostore, ki zahtevajo večjo od IP 20. </t>
  </si>
  <si>
    <t>SPLOŠNO</t>
  </si>
  <si>
    <t>Pri izdelavi ponudbe na podlagi predmetnega popisa je potrebno v ceni posamezne enote ali sistema navedenega v popisu upoštevati:</t>
  </si>
  <si>
    <t>a)</t>
  </si>
  <si>
    <t>Dobavo materiala, ustrezno zaščitenega proti poškodbam, z vsemi transportnimi in manipulativnimi stroški, stroški zavarovanj, skladiščenja med transportom ali pred montažo. Pred montažo se vsak kos posebej pregleda in ugotovi ustreznost glede na zahteve. Vsaka naprava mora biti opremljena z navodili za obratovanje v slovenskem jeziku.</t>
  </si>
  <si>
    <t>b)</t>
  </si>
  <si>
    <t>Pripravo dokumentacije skladno s »Pravilnikom o gradbenih proizvodih«, ki jo izvajalec pred montažo preda nadzornemu organu (atesti, izjave o skladnosti, CE certifikati, tehnična soglasja…)</t>
  </si>
  <si>
    <t>c)</t>
  </si>
  <si>
    <t>Montažo materiala, izvedeno s strani strokovno usposobljene osebe, po potrebi osebe, ki je pooblaščena za montažo. Vsa oprema mora biti montirana skladno z navodili proizvajalca. V sklopu montaže je potrebno upoštevati ves drobni montažni in tesnilni material, pripravljalna in zaključna dela, izdelavo morebiti potrebnih prebojev in dolbenj.</t>
  </si>
  <si>
    <t>d)</t>
  </si>
  <si>
    <t>Zaščito vgrajenega materiala na objektu proti poškodbam nastalim zaradi izvajanja gradbenih ali ostalih del po vgradnji materiala.</t>
  </si>
  <si>
    <t>e)</t>
  </si>
  <si>
    <t>Pripravo dokumentacije o ustrezni montaži elementov ali naprav z zapisniki o kontroli električnih in cevnih povezav posamezne naprave ali zagonu naprav s strani za to pooblaščene organizacije ali proizvajalca, če je to potrebno.</t>
  </si>
  <si>
    <t>f)</t>
  </si>
  <si>
    <t>Zagon in kontrola posameznega sistema v celoti ter izdelava zapisnika o funkcionalnosti sistema.</t>
  </si>
  <si>
    <t>g)</t>
  </si>
  <si>
    <t>Vris sprememb, nastalih med gradnjo v PZI načrt ter predaja teh izdelovalcu PID načrta.</t>
  </si>
  <si>
    <t>h)</t>
  </si>
  <si>
    <t>V ponudbi je potrebno zajeti dobavo, montažo in priklop izbrane opreme!</t>
  </si>
  <si>
    <t>i)</t>
  </si>
  <si>
    <t>V popisu so podani tipi elektro opreme različnih proizvajalcev. Vgradi se lahko podana oprema proizvajalcev, oziroma se lahko izbere ustrezno enakovredno elektro opremo, ki ima ustrezne ateste, katere opredeljuje slovenska zakonodaja in kvalitetno ustrezajo tehničnemu opisu</t>
  </si>
  <si>
    <t>j)</t>
  </si>
  <si>
    <t>Izdelava dokazila o zanesljivosti objekta skladno z veljavnim pravilnikom.</t>
  </si>
  <si>
    <t>k)</t>
  </si>
  <si>
    <t xml:space="preserve">Priprava podrobnih navodil za obratovanje in vzdrževanje elementov in sistemov v objektu. Uvajanje upravljavca sistemov investitorja, poučevanja, šolanja ter pomoč v prvem letu obratovanja. </t>
  </si>
  <si>
    <t>l)</t>
  </si>
  <si>
    <t>o)</t>
  </si>
  <si>
    <t>Cene ne vključujejo DDV!</t>
  </si>
  <si>
    <t>SVETILKE</t>
  </si>
  <si>
    <t>(dobava, montaža in priklop)</t>
  </si>
  <si>
    <t>Opis postavke</t>
  </si>
  <si>
    <t>e.m.</t>
  </si>
  <si>
    <t>kol</t>
  </si>
  <si>
    <t>€/enoto</t>
  </si>
  <si>
    <t>-</t>
  </si>
  <si>
    <t xml:space="preserve">Sijalka 11W </t>
  </si>
  <si>
    <t>Svetilka zasilne razsvetljave, LED 8W z aku baterijo avtonomije 1h, pripravni spoj</t>
  </si>
  <si>
    <t>Piktogrami nalepljeni po zahtevi preglednika zasilne razsvetljave</t>
  </si>
  <si>
    <t>Pregled in meritve zasilne razsvetljave in pridobitev potrdila o brezhibnosti zasilne razsvetljave s strani pristojne inštitucije</t>
  </si>
  <si>
    <t>Stropni IR senzor gibanja 360 stopinj pokrivanja z možnostjo nastavitve časa in občutljivosti</t>
  </si>
  <si>
    <t>Drobni material</t>
  </si>
  <si>
    <t>%</t>
  </si>
  <si>
    <t>MONTAŽNI MATERIAL</t>
  </si>
  <si>
    <t>Kabelski vodniki z PVC izolacijo in plaščem položeni v ceveh</t>
  </si>
  <si>
    <t>NYM-J 2x1,5 mm2</t>
  </si>
  <si>
    <t>NYM-J 3-5x1,5 mm2</t>
  </si>
  <si>
    <t>NYM-J 3x2,5 mm2</t>
  </si>
  <si>
    <t>NYM-J 3x4 mm2</t>
  </si>
  <si>
    <t>NYM-J 5x2,5 mm2</t>
  </si>
  <si>
    <t>NYY-J 5x4 mm2</t>
  </si>
  <si>
    <t>NYY-J 5x6 mm2</t>
  </si>
  <si>
    <t>NYY-J 5x10 mm2</t>
  </si>
  <si>
    <t>Koaksialni kabel 75 ohm RG59</t>
  </si>
  <si>
    <t xml:space="preserve">Kabel UTP cat.6 4x2xAwG24 </t>
  </si>
  <si>
    <t>Dovodni TK kabel za priključitev na javno TK omrežje po zahtevi pristojnega TK distribucijskega podjetja. V kompletu z gibljivo zaščitno cevjo Stigmaflex fi 32 mm</t>
  </si>
  <si>
    <t>Dovodni CATV kabel za priključitev na CATV omrežje po zahtevi pristojnega CATV distribucijskega podjetja. V kompletu z gibljivo zaščitno cevjo Stigmaflex fi 32 mm</t>
  </si>
  <si>
    <t>Ozemljitveni vodniki in ozemljitve</t>
  </si>
  <si>
    <t>H07V-K (rum-zel) 35mm2</t>
  </si>
  <si>
    <t>H07V-K (rum-zel) 16mm2</t>
  </si>
  <si>
    <t>H07V-K (rum-zel) 6mm2</t>
  </si>
  <si>
    <t>Razni spoji s fiksnimi kovinskimi masami (kovinske ograje v stopnišču,vrata, kovinski okviri oken…)</t>
  </si>
  <si>
    <t>Gibljive zaščitne cevi, dobava in montaža</t>
  </si>
  <si>
    <t>RBT cev fi 16mm</t>
  </si>
  <si>
    <t>RBT cev fi 23mm</t>
  </si>
  <si>
    <t>RBT cev fi 36mm</t>
  </si>
  <si>
    <t xml:space="preserve">Nadometni inštalacijski kanal NIK v kompletu s pritrdilnim materialom </t>
  </si>
  <si>
    <t>NIK 1-3</t>
  </si>
  <si>
    <t>NIK 6</t>
  </si>
  <si>
    <t>Gewiss cevi ali slične fi  11-29mm</t>
  </si>
  <si>
    <t>Kabelska polica PK 400 s pokrovi</t>
  </si>
  <si>
    <t xml:space="preserve">Kabelska polica PK 300 s pokrovi </t>
  </si>
  <si>
    <t>Kabelska polica PK 200 s pokrovi</t>
  </si>
  <si>
    <t xml:space="preserve">Instalacijski kanal PK 100 s pokrovi </t>
  </si>
  <si>
    <t>Stikalo instalacijsko - navadno TEM Modul line bele barve ali slično. V kompletu s p/o razvodnico (enojno, dvojno, trojno), za vgradnjo v knauf ali opečno steno.</t>
  </si>
  <si>
    <t>Tipkalo s tlivko in sibmolom luči instalacijsko TEM Modul line bele barve ali slično. V kompletu s p/o razvodnico (enojno, dvojno, trojno), za vgradnjo v knauf ali opečno steno.</t>
  </si>
  <si>
    <t>Stikalo instalacijsko - menjalno TEM Modul line ali VIMAR plana bele barve ali slično. V kompletu s p/o razvodnico (enojno, dvojno, trojno), za vgradnjo v knauf ali opečno steno.</t>
  </si>
  <si>
    <t>Stikalo instalacijsko - križno TEM Modul line ali VIMAR plana bele barve ali slično. V kompletu s p/o razvodnico (enojno, dvojno, trojno), za vgradnjo v knauf ali opečno steno.</t>
  </si>
  <si>
    <t>Stikalo na ključ, za izklop servisnih vtičnih na hodniku</t>
  </si>
  <si>
    <t>Priključnica stalna za priklop el. naprav, 3-5 polna, 16 A, v kompletu z p/o razvodnico za vgradnjo v knauf, opečno ali litobetonsko steno.</t>
  </si>
  <si>
    <t>Šuko vtičnica 230 V, 16 A, tip TEM Modul line bele barve ali slično v kompletu z razvodnico (enojno, dvojno ali trojno) za vgradnjo v knauf ali opečno steno.</t>
  </si>
  <si>
    <t>Šuko vtičnica 230 V, 16 A, IP44, tip TEM Modul line bele barve ali slično v kompletu z razvodnico (enojno, dvojno ali trojno) za vgradnjo v knauf ali opečno steno.</t>
  </si>
  <si>
    <t>Vtičnica CATV TEM Modul line bele barve ali slična. V kompletu s pokrovom in razvodnico (enojno, dvojno ali trojno) za vgradnjo v knauf ali opečno steno.</t>
  </si>
  <si>
    <t>Enojna telefonska vtičnica RJ45 TEM Modul line ali slično bele barve, p/o v kompletu z razvodnico  (enojno, dvojno) za vgradnjo v knauf ali opečno steno.</t>
  </si>
  <si>
    <t>Omarica D. I. P. (doza za izenačitev potencialov) PS 49 za vgradnjo v knauf, opečno ali litobetonsko steno. V kompletu s priključno sponko in vijaki.</t>
  </si>
  <si>
    <t>Omarica G. I. P. (doza za glavno izenačitev potencialov) PS 49 za vgradnjo v knauf, opečno ali litobetonsko steno. V kompletu s priključno sponko in vijaki.</t>
  </si>
  <si>
    <t>Razne zaključne doze v steni kpl. s sponkami za zaključevanje vodnikov</t>
  </si>
  <si>
    <t>Priključna omarica za Telemach tipska po zahtevah pristojnega TK distribucijskega podjetja.  Komplet opremljen z ranžirno letvico</t>
  </si>
  <si>
    <t>Priključna omarica za TK, tipska po zahtevi pristojnega TK distribucijskega podjetja.  Komplet opremljen z ranžirno letvico</t>
  </si>
  <si>
    <t>Priključna omarica za CATV, tipska po zahtevi pristojnega CATV distribucijskega podjetja.  Komplet z priključno sponko.</t>
  </si>
  <si>
    <t>Priklop električne pečice</t>
  </si>
  <si>
    <t>Priklop nape</t>
  </si>
  <si>
    <t>Priklop dvigala</t>
  </si>
  <si>
    <t xml:space="preserve">Tesnenje prehodov iz enega v drugi požarni sektor </t>
  </si>
  <si>
    <t xml:space="preserve">izdelan s piroterm atestiranih vrečkami; dimenzija odprtine </t>
  </si>
  <si>
    <t>dim: 10x30cm vrečk</t>
  </si>
  <si>
    <t>dim: 20x30cm vrečk</t>
  </si>
  <si>
    <t xml:space="preserve">Protipožara pena za atestirano tesnitev manjših odprtin pri prehodu kablov iz prostora v prostor Promafoam C </t>
  </si>
  <si>
    <t>Priklop dovodnega Telemach kabla na omarico po zahtevah Telemach-a</t>
  </si>
  <si>
    <t>Priklop dovodnega telefonskega kabla na komunikacijsko omarico po zahtevah telefonskega distribucijskega podjetja</t>
  </si>
  <si>
    <t>19'' komunikacijska zidna stenska omarica 12HE z naslednjo opremo:
-2 x 24 portni patch panel 19", za priključitev UTP kablov cat.6   RJ45
- Krone letvica
- Optični patch panel SM s konektorji ST
- Polica 19" 1HE
- Enota z 5 vtičnicami 1L+N+PE</t>
  </si>
  <si>
    <t>Kabelski delilnik po zahtevah Telemach-a v kompletu s kovinsko omarico</t>
  </si>
  <si>
    <t xml:space="preserve">Etažni kabelski delilnik po zahtevah KKS distributerja v kompletu s kovinsko omarico in ojačevalnkom </t>
  </si>
  <si>
    <t>Priklop etažnih delilnikov</t>
  </si>
  <si>
    <t>Predpriprava inštalacije SOS v kopalnicah z podometnimi dozami (potezno stikalo), doza za razrešitev klica in cevni razvod do omarice šibkega toka.</t>
  </si>
  <si>
    <t xml:space="preserve">Priprava cevne inštalacije za elemente javljanja in izvršitve odpiranja okna za odvod dima in toplote. Sistem vsebuje 2 ročni tipki za odprtje okna in optični javljalnik </t>
  </si>
  <si>
    <t>Priklop kabla na krmilno omarico za odpiranje dimo odvodnega okna.</t>
  </si>
  <si>
    <t>Alarmna centrala MX 2000 za detekcijo plina</t>
  </si>
  <si>
    <t>Merilna glava plina S-JP K (0-60% SME)</t>
  </si>
  <si>
    <t>Alarmna sirena za javljanje plina</t>
  </si>
  <si>
    <t>Signalni kabel LiYCY 3x1,5 mm2</t>
  </si>
  <si>
    <t>Montaža in priklop elementov detekcije plina</t>
  </si>
  <si>
    <t>Priklop dovodnega kabla 5x10mm2 na KPMO</t>
  </si>
  <si>
    <t>Meritve jakotočnih instalacij</t>
  </si>
  <si>
    <t>52.</t>
  </si>
  <si>
    <t>Dolblenje zidu za električne instalacije debeline od 3cm do 20cm, globine do 5cm za kable, doze v obstoječe zidove, mavčanje cevi in doz (80% opečne stene in betonski kvadri, 20% armiranobetonske stene)</t>
  </si>
  <si>
    <t>53.</t>
  </si>
  <si>
    <t>Dolblenje zidu za podometno montažo razdelilnikov v širini 40cm, globini 12cm (80% opečne stene in betonski kvadri, 20% armiranobetonske stene)</t>
  </si>
  <si>
    <t>54.</t>
  </si>
  <si>
    <t>Čiščenje dolblenega ometa in zidu in odvoz na deponijo</t>
  </si>
  <si>
    <t>55.</t>
  </si>
  <si>
    <t>OŽIČENJE IN IZVEDBA STROJNIH INŠTALACIJ</t>
  </si>
  <si>
    <t>NYM-J 4x1,4 mm2</t>
  </si>
  <si>
    <t>NYM-J 3x1,5 mm2</t>
  </si>
  <si>
    <t>JY(St)Y 2x2x0,8mm2</t>
  </si>
  <si>
    <t>JY(St)Y 2x0,6mm2</t>
  </si>
  <si>
    <t>RBT cev fi 13-16mm</t>
  </si>
  <si>
    <t>Električni priklop bojlerja 6kW po zahtevah strojnih inštalacij</t>
  </si>
  <si>
    <t>Priklop upravljalnikov za lokalno prezračevanje z rekuperacijo po zahtevah strojnih inštalacij</t>
  </si>
  <si>
    <t>Priklop ventilatorjev v kopalnicah</t>
  </si>
  <si>
    <t>Priklop ventilatorja v prostoru shrambe</t>
  </si>
  <si>
    <t>Priklop potopne črpalke po zahtevah strojnih inštalacij</t>
  </si>
  <si>
    <t>Priklop kondenzacijske plisnke peči po zahtevah strojnih inštalacij</t>
  </si>
  <si>
    <t>Priklop strojnih elementov (obtočnih in cirkulacijskih črpalk, dozirne naprave…) po zahtevah strojnih inštalacij</t>
  </si>
  <si>
    <t>Priklop kondenzacijske plinske peči po zahtevah strojnih inštalacij</t>
  </si>
  <si>
    <t>Sodelovanje pri izvedbi strojnih inštalacij za priklope in izvedbo elektro inštalacij za strojne inštalacije</t>
  </si>
  <si>
    <t>RAZDELILNIKI</t>
  </si>
  <si>
    <t>Razdelilnik R-S.R.</t>
  </si>
  <si>
    <t>Nadometni kovinski razdelilnik R-S.R.,za jaki tok z montažno ploščo, ključavnico, dimenzije 600 x 1200 x 250 (ŠxVxG). IP 66 opremljen z:</t>
  </si>
  <si>
    <t>glavno bremensko stikalo 40A, 3p</t>
  </si>
  <si>
    <t>Prenapetosni odvodnik ETITEC tip C 275/20 3+1</t>
  </si>
  <si>
    <t>instalacijski odklopnik 10 A, C, 1p</t>
  </si>
  <si>
    <t>instalacijski odklopnik 16 A, C, 1p</t>
  </si>
  <si>
    <t>instalacijski odklopnik 10 A, C, 3p</t>
  </si>
  <si>
    <t>instalacijski odklopnik 16 A, C, 3p</t>
  </si>
  <si>
    <t xml:space="preserve">varovalčno stikalo 3p TYTAN 2 z vložki </t>
  </si>
  <si>
    <t xml:space="preserve">digitalna tedenska ura za vklapljanja ventilatorja </t>
  </si>
  <si>
    <t>izbirno stikalo 1-0-2, 1p za montažno na DIN letev</t>
  </si>
  <si>
    <t>vrstne sponke razne velikosti</t>
  </si>
  <si>
    <t>drobni vezni, montažni in označevalni material</t>
  </si>
  <si>
    <t>vezava stikalnega bloka</t>
  </si>
  <si>
    <t>priklop stikalnega bloka</t>
  </si>
  <si>
    <t>meritve stikalnega bloka</t>
  </si>
  <si>
    <t>Razdelilnik Stanovanje (4xKLET)</t>
  </si>
  <si>
    <t>Razdelilnik za jaki tok, p/o tip DIDO GLOBAL PD28 (3x12) ali slični dvo redni - tipski.  Komplet opremljen z:</t>
  </si>
  <si>
    <t>glavno bremensko stikalo 40A, 1p</t>
  </si>
  <si>
    <t>Prenapetosni odvodnik ETITEC tip C 275/20 1+1</t>
  </si>
  <si>
    <t>zaščitno stikalo EFI-2/40/0,3A, 2p</t>
  </si>
  <si>
    <t>instalacijski odklopnik 20 A, C, 1p</t>
  </si>
  <si>
    <t>KZS 16 0,03A, 1p+N</t>
  </si>
  <si>
    <t>SKUPAJ :</t>
  </si>
  <si>
    <t xml:space="preserve">Razdelilnik Stanovanje 19x (P, 1N, 2N, 3N, M) </t>
  </si>
  <si>
    <t>Razdelilec TK + CATV (23x)</t>
  </si>
  <si>
    <t xml:space="preserve">Razdelilnik stanovanja za šibki tok, p/o tip: DIDO GLOBAL PD28 (2x12) ali slični dvo redni - tipski.  Komplet opremljen z:
priključno letvico 2/10, ozemljitveno sponko, komplet z zaključitvijo sekundarnih in priključnih kablov, CATV delilnikom 1/2 in z zaključitvijo CATV kablov. Ostala oprema se montira na željo lastnika stanovanja. </t>
  </si>
  <si>
    <t>DOMOFON IN KONTROLA PRISTOPA</t>
  </si>
  <si>
    <t>Digitalni domofon sestavlja sistem z 1 zunanjo enoto in 23 notranjih enot kpl. 2 VOICE - Vezave URMET DOMUS ali sličen. Sistem omogoča da se domofonska instalacija nadgradi s kamero. Lastniki stanovanj  na svojo željo lahko nadgradi sistem z zamenjavo notranje domofonske napravo z video-domofonsko napravo.</t>
  </si>
  <si>
    <t>Zunanja enota:</t>
  </si>
  <si>
    <t>Zunanja enota z osvetljeno številčnico z možnostjo izbiranja klicatelja in prikazovalnim displejem 2 VOICE digitalni klicni modul SINTHESI S2 (1083/19) ali ekvivalentno</t>
  </si>
  <si>
    <t>Podometna doza za 3 module (1145/53) ali ekvivalentno</t>
  </si>
  <si>
    <t>Okvir za 3 module (1148/53) ali ekvivalentno</t>
  </si>
  <si>
    <t>Slepi modul (1148/59) ali ekvivalentno</t>
  </si>
  <si>
    <t>Napajalnik za 2 Voice  (1083/20A) ali ekvivalentno</t>
  </si>
  <si>
    <t>Notranja enota:</t>
  </si>
  <si>
    <t>Notranja domofonska enota 2VOICE MIRO (1183/5) ali ekvivalentno</t>
  </si>
  <si>
    <t>Dodatni miniturni rele za svetlobno signalizacijo v stanovanju invalidov</t>
  </si>
  <si>
    <t>Nadometna utripajoča svetilka 24V za opozarjanje klica</t>
  </si>
  <si>
    <t>LIYCY 2x1mm2 za priklop ključavnice, in povezavo zunanjih in notranjih enot video domofona</t>
  </si>
  <si>
    <t>RBT cev fi 13,5mm</t>
  </si>
  <si>
    <t>Pozivna podometne tipka (zvonec) s tlivko TEM Modul line bele barve ali slično. V kompletu s p/o razvodnico (enojno) za vgradnjo v litobetonsko steno.</t>
  </si>
  <si>
    <t>El. ključavnica 12 VDC, za vgradnjo v izbrana vrata</t>
  </si>
  <si>
    <t>Nastavitve, meritve in spuščanje sistema domofona v obratovanje.</t>
  </si>
  <si>
    <t>Kontrola pristopa</t>
  </si>
  <si>
    <t>Terminal kontrole pristopa</t>
  </si>
  <si>
    <t>Čitalec brezkontaktnih kartic</t>
  </si>
  <si>
    <t>Kombinirane kartice (pasivna brezkontaktna in z magnetno sledjo, standardne dimenzije po ISO standardu)</t>
  </si>
  <si>
    <t>Kabel NYY-J - 3x1,5mm2</t>
  </si>
  <si>
    <t xml:space="preserve">Kabel LiYCY-TP 2x2x0,75 mm²
</t>
  </si>
  <si>
    <t xml:space="preserve">Kabel LiYCY-JZ 2x1,5 mm²
</t>
  </si>
  <si>
    <t>RBT fi 16mm</t>
  </si>
  <si>
    <t>Montaža naprav in elementov kontrole pristopa na pripravljene instalacije</t>
  </si>
  <si>
    <t>Programiranje PC računalnika kontrole pristopa, preiskus vseh sistemov in spuščanje sistema v pogon</t>
  </si>
  <si>
    <t>Poučevanje in šolanje pristojnega osebja o delovanju sistemov, izdelava navodil navodil za rokovanje s kontrolo pristopa, predaja sistema uporabnikom…</t>
  </si>
  <si>
    <t>Povezava na električno ključavnico za izbrana vrata</t>
  </si>
  <si>
    <t>STRELOVOD</t>
  </si>
  <si>
    <t>(demontaža starih odvodov,dobava, montaža in priklop novih odvodov)</t>
  </si>
  <si>
    <t>Demontaža obstoječih odvodov na že postavljenih odrih ter vlek obstoječih odvodov v samogasne cevi, komplet s pritjevalnim materialom.</t>
  </si>
  <si>
    <t>Al Φ 8mm (2 odvoda) uvlečen v samogasni cevi v kompletu s pritjevalnim materialom.</t>
  </si>
  <si>
    <t>Razne dopolnitve strelovoda ob prenovi z  Al Φ 8mm na konzolah za izbrani tip strehe na razdalji cca 0,8m s konzolami</t>
  </si>
  <si>
    <t xml:space="preserve">Ozemljilo Fe-Zn 25x4 mm, dobava in montaža. </t>
  </si>
  <si>
    <t xml:space="preserve">Izdelava izkopa okoli objekta 2-3m od objekta 0,8m globoko, 40x80cm in zasutje </t>
  </si>
  <si>
    <t>Razne sponke za Al fi 8mm</t>
  </si>
  <si>
    <t xml:space="preserve">Križne sponke za pocinkani valjanec Fe-Zn 25x4mm </t>
  </si>
  <si>
    <t xml:space="preserve">Podometna samogasna cev fi 16 mm položena pod izolacijo fasade objekta za montažo odvodov </t>
  </si>
  <si>
    <t xml:space="preserve">Cevna objemka za ozemljevanje odtočnih cevi </t>
  </si>
  <si>
    <t>Zidna merilna omarica z merilnim spojem in oznako</t>
  </si>
  <si>
    <t>Razni spoji s kovinsko maso (strehe, vrata, ograje, nadstreški, kovinski okvirji vrat in oken)</t>
  </si>
  <si>
    <t>Meritve strelovodne instalacije</t>
  </si>
  <si>
    <t>OSTALE OBVEZNOSTI</t>
  </si>
  <si>
    <t>Meritve jakega in šibkega toka</t>
  </si>
  <si>
    <t>€ skupaj -€</t>
  </si>
  <si>
    <r>
      <rPr>
        <b/>
        <sz val="11"/>
        <rFont val="Calibri"/>
        <family val="2"/>
      </rPr>
      <t>SV1</t>
    </r>
    <r>
      <rPr>
        <sz val="11"/>
        <rFont val="Calibri"/>
        <family val="2"/>
      </rPr>
      <t xml:space="preserve"> - Notranja stropna nadgradna svetilka 230V, 2 x E27 s senzorjem gibanja 360 stopinj pokrivanja z možnostjo dodatne obremenitve 100W v kompletu z dvema LED žarnicama 7 W. 
proizvajalec: STEiNEL
ali po izboru arhitekta ali investitorja</t>
    </r>
  </si>
  <si>
    <r>
      <rPr>
        <b/>
        <sz val="11"/>
        <rFont val="Calibri"/>
        <family val="2"/>
      </rPr>
      <t>SV2 -</t>
    </r>
    <r>
      <rPr>
        <sz val="11"/>
        <rFont val="Calibri"/>
        <family val="2"/>
      </rPr>
      <t xml:space="preserve"> Notranja stropna svetilka 
230V, 2 x E27 z varčnima sijalkama 18W
proizvajalec: STEiNEL
ali po izboru arhitekta ali investitorja</t>
    </r>
  </si>
  <si>
    <r>
      <rPr>
        <b/>
        <sz val="11"/>
        <rFont val="Calibri"/>
        <family val="2"/>
      </rPr>
      <t>SV3</t>
    </r>
    <r>
      <rPr>
        <sz val="11"/>
        <rFont val="Calibri"/>
        <family val="2"/>
      </rPr>
      <t xml:space="preserve"> - Notranja stropna nadgradna svetilka z ETEA DIRECT 1x22W T16-C 2Gx13 IP43 EB (koplanica)
proizvajalec: Intra
ali po izboru arhitekta ali investitorja</t>
    </r>
  </si>
  <si>
    <r>
      <rPr>
        <b/>
        <sz val="11"/>
        <rFont val="Calibri"/>
        <family val="2"/>
      </rPr>
      <t>SV4</t>
    </r>
    <r>
      <rPr>
        <sz val="11"/>
        <rFont val="Calibri"/>
        <family val="2"/>
      </rPr>
      <t xml:space="preserve"> - Stenska ladijska svetilka, ovalna, kovinska, 230V, E27, max. 60W, IP44, bela (pod stopnicami, podstrešje)</t>
    </r>
  </si>
  <si>
    <r>
      <rPr>
        <b/>
        <sz val="11"/>
        <rFont val="Calibri"/>
        <family val="2"/>
      </rPr>
      <t>SV5</t>
    </r>
    <r>
      <rPr>
        <sz val="11"/>
        <rFont val="Calibri"/>
        <family val="2"/>
      </rPr>
      <t xml:space="preserve"> - Stenska zunanja svetika s senzorjem L 330 S bela, 230V, E27, max. 60W, IP44, bela (balkoni, prehod med objektoma)
proizvajalec: STEiNEL
ali po izboru arhitekta ali investitorja</t>
    </r>
  </si>
  <si>
    <r>
      <rPr>
        <b/>
        <sz val="11"/>
        <rFont val="Calibri"/>
        <family val="2"/>
      </rPr>
      <t>SV6</t>
    </r>
    <r>
      <rPr>
        <sz val="11"/>
        <rFont val="Calibri"/>
        <family val="2"/>
      </rPr>
      <t xml:space="preserve"> - Nadometna svetilka Hydro 2x58W, T8 s predstikalno napravo, komplet s sijalkama
proizvajalec: Disano
ali po izboru arhitekta ali investitorja</t>
    </r>
  </si>
  <si>
    <t>C./</t>
  </si>
  <si>
    <t>ELEKTROINSTALACIJE:</t>
  </si>
  <si>
    <t xml:space="preserve">Navedena oprema oz. material je informativnega značaja, ki odgovarja zahtevani kvaliteti. Če bo ponujena drugačna oprema oz. material, mora biti enake ali boljše kvalitete
</t>
  </si>
  <si>
    <t>Skupaj zunanja ureditev - gradbena in obrtniška dela:</t>
  </si>
  <si>
    <t>opombe:</t>
  </si>
  <si>
    <t>temeljenje cevi in jaškov mora na licu mesta potrditi geomehanik</t>
  </si>
  <si>
    <t>pred izvedbo ponikovalnice je potrebno obvezni narediti ponikovalni preizkus</t>
  </si>
  <si>
    <t>REKAPITULACIJA</t>
  </si>
  <si>
    <t xml:space="preserve">KANALIZACIJA </t>
  </si>
  <si>
    <t>KANALIZACIJA ZUNAJ OBJEKTA</t>
  </si>
  <si>
    <t>KANALIZACIJA V OBJEKTU</t>
  </si>
  <si>
    <t>SKUPAJ</t>
  </si>
  <si>
    <t>Zakoličenje osi kanalizacije z oznako revizijskih jaškov, geodetskim posnetkom, ter vrisom v kataster</t>
  </si>
  <si>
    <t>m1</t>
  </si>
  <si>
    <t>Postavitev gradbenih profilov na vzpostavljeno os trase kanala, ter določitev nivoja za merjenje globine izkopa in polaganja kanala</t>
  </si>
  <si>
    <t>3</t>
  </si>
  <si>
    <t>Priprava gradbišča : odstranitev eventuelnih ovir, prometnih znakov in ureditev delovnega platoja. Po končanih delih gradbišče pospraviti in vzpostaviti v prvotno stanje. Upoštevano za celotno izvedbo kanalizacije</t>
  </si>
  <si>
    <t xml:space="preserve">A. Priprava                          </t>
  </si>
  <si>
    <t xml:space="preserve">B. Vzpostavitev                 </t>
  </si>
  <si>
    <t>4</t>
  </si>
  <si>
    <t>Strojno rezanje in rušenje obstoječega asfalta z nakladanjem na kamion in odvozom na stalno gradbeno deponijo</t>
  </si>
  <si>
    <t>5</t>
  </si>
  <si>
    <t>Vzpostavitev asfaltnih površin (pločnika) v prvotno stanje oz. po navodilih upravljalca.</t>
  </si>
  <si>
    <t>6</t>
  </si>
  <si>
    <t>Strojni izkop kanalizacijskega jarka globine 0,0 - 2,0  m1, v terenu III-IV. ktg, z nakladanjem materiala na kamion in odvoz materiala na deponijo oddaljeno do 10km, vključno s stroški deponije. Zunaj objekta</t>
  </si>
  <si>
    <t>m3</t>
  </si>
  <si>
    <t>7</t>
  </si>
  <si>
    <t>Ročni izkop kanalizacijskega jarka v terenu III. ktg z premetavanjem izkopanega materiala ob robu gradbenega jarka V objektu</t>
  </si>
  <si>
    <t>8</t>
  </si>
  <si>
    <t>Dodatni strojni izkop kanalizacijskega jarka za vgradnjo ponikovalnice globine 0,0 - 3,2  m1, v terenu III. ktg, z nakladanjem materiala na kamion in odvoz materiala na deponijo oddaljeno do 10km, vključno s stroški deponije</t>
  </si>
  <si>
    <t>9</t>
  </si>
  <si>
    <t>Ročno planiranje dna jarka s točnostjo +/- 3 cm po projektiranem padcu</t>
  </si>
  <si>
    <t>Nabava in dobava in vgradnja betona C16/20. Izdelava betonske posteljice in polno obbetoniranje cevi.</t>
  </si>
  <si>
    <t>Nabava in dobava peska 0-11mm ter izdelava posteljice in obsipa cevi</t>
  </si>
  <si>
    <t>12</t>
  </si>
  <si>
    <t>Nabava, dobava in montaža cevi PVC 125 SN 8, stiki so tesnjeni s spojkami z gumi tesnili -zunaj objekta</t>
  </si>
  <si>
    <t>13</t>
  </si>
  <si>
    <t>Nabava, dobava in montaža cevi PVC 160 SN 8, stiki so tesnjeni s spojkami z gumi tesnili -zunaj objekta</t>
  </si>
  <si>
    <t>14</t>
  </si>
  <si>
    <t xml:space="preserve">Zasip gradbenega jarka z novim zasipnim materialom z utrjevanjem v slojih do 95 % trdnosti po standardnem Proktorjevem postopku. </t>
  </si>
  <si>
    <t>15</t>
  </si>
  <si>
    <t>Čiščenje in planiranje terena po končani gradnji</t>
  </si>
  <si>
    <t>16</t>
  </si>
  <si>
    <t>17</t>
  </si>
  <si>
    <t>18</t>
  </si>
  <si>
    <t>19</t>
  </si>
  <si>
    <t>Nabava, dobava cevi in fazonskih kosov (PVC160-Tkos + PVC160 2x45° ) ter izdelava kaskade PVC160 L=do2m na obstoječi revizijski jašek</t>
  </si>
  <si>
    <t>20</t>
  </si>
  <si>
    <t>Nabava, dobava in montaža protipovratne zaklopke HL 720.2, zaprtega tipa. Montaža z dvema redukcijema kosoma BC250/PVC200</t>
  </si>
  <si>
    <t>21</t>
  </si>
  <si>
    <t>Nabava, dobava in vgradnja tipskega lovilca olja fi1400mmAquareg S80 bp 8 SIP iz poliestskih cevi; Nazivna velikost 80 l/s, pretok skozi lovilec olja 8 l/s. Po SIST EN 858</t>
  </si>
  <si>
    <t>22</t>
  </si>
  <si>
    <t>23</t>
  </si>
  <si>
    <t>Nabava, dobava in vgradnja betonske ponikovalnice fi1000mm globine 3,2m. Po detajlu</t>
  </si>
  <si>
    <t>24</t>
  </si>
  <si>
    <t>Izdelava ponikovalnega preizkusa ob prisotnosti hidrogeologa</t>
  </si>
  <si>
    <t>25</t>
  </si>
  <si>
    <t>Strojno in ročno čiščenje obstoječe ponikovalnice med stanovanjskim objektom in zakloniščem. V primeru, da je ponikovalnica po čiščenju nesustrezna, jo je potrebno zamenjati z novo.</t>
  </si>
  <si>
    <t>26</t>
  </si>
  <si>
    <t>Rušenje obstoječe kanalizacije BC150-200 z nakaladanjem materala na kamion in odvozom na stalno gradbeno deponijo</t>
  </si>
  <si>
    <t>27</t>
  </si>
  <si>
    <t>Pregled kanala z TV kamero in čiščenje po končanih delih</t>
  </si>
  <si>
    <t>28</t>
  </si>
  <si>
    <t>Tlačni preizkus vodotesnosti položenih kanalizacijskih cevi  po EN SIST 1610</t>
  </si>
  <si>
    <t>29</t>
  </si>
  <si>
    <t>Prečno zavarovanje obstoječih komunalnih vodov v času izvajanja del in vzpostavitev v prvotno stanje, obračun po dejanskih stroških</t>
  </si>
  <si>
    <t>30</t>
  </si>
  <si>
    <t>Hidro geomehanski nadzor na gradbišču</t>
  </si>
  <si>
    <t>KANALIZACIJA</t>
  </si>
  <si>
    <t>Nabava, dobava in montaža cevi PVC 100 SN 4, stiki so tesnjeni s spojkami z gumi tesnili - v objektu</t>
  </si>
  <si>
    <t>Nabava, dobava in montaža cevi PVC 160 SN 4, stiki so tesnjeni s spojkami z gumi tesnili - v objektu</t>
  </si>
  <si>
    <t>10</t>
  </si>
  <si>
    <t>11</t>
  </si>
  <si>
    <t>Nabava, dobava in montaža fazonskih PVC kosov</t>
  </si>
  <si>
    <t>Odcep PVC 160/160-45°</t>
  </si>
  <si>
    <t>Odcep PVC 160/100-45°</t>
  </si>
  <si>
    <t>Odcep PVC 100/100-45°</t>
  </si>
  <si>
    <t>Lok PVC 160 - 45° kos</t>
  </si>
  <si>
    <t>Lok PVC 100 - 45° kos</t>
  </si>
  <si>
    <t>Reducirni kos R100/160</t>
  </si>
  <si>
    <t>PVC160 Lok 89° - prehod iz vertikale v horiz.</t>
  </si>
  <si>
    <t>Geomehanski nadzor na gradbišču</t>
  </si>
  <si>
    <t>A.2.</t>
  </si>
  <si>
    <t>KANALIZACIJA - KANALIZACIJA V OBJEKTU</t>
  </si>
  <si>
    <t xml:space="preserve">Nabava, dobava in izdelava revizijskega poliestrskegaa jaska fi 60cm s kanalskim pokrovom 600/600mm po standardu SIST EN124, 250kN, betoniranjem pete jaska z vodotesnim betonom C16/20 in izdelavo betonske koritnice v dnu jaska; gl. do 1,20. Cevi morajo biti vgrajene vertikalno, minimalna debelina stene revizijskega jaška je 8 mm. </t>
  </si>
  <si>
    <t xml:space="preserve">Nabava, dobava in izdelava revizijskega poliestrskegaa jaska fi 80cm s kanalskim pokrovom 600/600mm po standardu SIST EN124, 250kN, betoniranjem pete jaska z vodotesnim betonom C16/20 in izdelavo betonske koritnice v dnu jaska; gl. do 1,30. Cevi morajo biti vgrajene vertikalno, minimalna debelina stene revizijskega jaška je 8 mm. </t>
  </si>
  <si>
    <t xml:space="preserve">Nabava, dobava in izdelava revizijskega poliestrskegaa jaska fi 100cm s kanalskim pokrovom 600/600mm po standardu SIST EN124, 250kN, betoniranjem pete jaska z vodotesnim betonom C16/20 in izdelavo betonske koritnice v dnu jaska; gl. do 2,00. Cevi morajo biti vgrajene vertikalno, minimalna debelina stene revizijskega jaška je 8 mm. </t>
  </si>
  <si>
    <t>Nabava, dobava in izdelava betonskega peskolova Ø 40cm, globine 1,2m s kanalskim pokrovom LTZ 40/40cm po standardu SIST EN124, razreda A15, z betoniranjem pete jaska z betonom; Cevi morajo biti vgrajene vertikalno.</t>
  </si>
  <si>
    <t xml:space="preserve">Nabava, dobava in izdelava revizijskega poliestrskega jaska fi 60cm v notranjosti objekta z ALU pokrovom 600/600mm po standardu SIST EN124, s polnilom iz tlaka in smradno zaporo, betoniranjem pete jaska z vodotesnim betonom C16/20 ; gl. do 1,00. Cevi morajo biti vgrajene vertikalno, minimalna debelina stene revizijskega jaška je 8 mm. </t>
  </si>
  <si>
    <t>E.</t>
  </si>
  <si>
    <t>KANALIAZCIJA:</t>
  </si>
  <si>
    <t>E./</t>
  </si>
  <si>
    <t>IV./</t>
  </si>
  <si>
    <t>DOKUMENTACIJA - PID:</t>
  </si>
  <si>
    <t>Skupni znesek vseh pozicij te točke (poz. od 2.01 do 2.14  v EUR):</t>
  </si>
  <si>
    <t>Skupni znesek vseh pozicij te točke (poz. od 4.01 do 4.14  v EUR):</t>
  </si>
  <si>
    <t>Skupni znesek vseh pozicij te točke (poz. od 5.01 do 5.08  v EUR):</t>
  </si>
  <si>
    <t>Skupni znesek vseh pozicij te točke (poz. od 6.01 do 6.05  v EUR):</t>
  </si>
  <si>
    <t>VODOVOD</t>
  </si>
  <si>
    <t>PLINOVOD</t>
  </si>
  <si>
    <t>Pregled vseh elementov aktivne in pasivne požarne zaščite s strani pooblaščene organizacije, pridobivanje izjav o ustreznosti izvedenih del in montaže. Vsi elementi sistemov aktivne ali pasivne požarne zaščite morajo biti ustrezno označeni in dokumentirani.</t>
  </si>
  <si>
    <t>Izpiranje in čiščenje vseh cevnih instalacij.</t>
  </si>
  <si>
    <t>Tlačne, tesnostne in ostale potrebne preizkuse sistemov z zapisniki o izvedbah preizkusov, podpisanimi s strani nadzornega organa. V kolikor je za posamezno instalacijo potrebno pridobiti ustrezno dokumentacijo drugega podjetja (plin, vodovod, vročevod), je potrebno upoštevati stroške nadzora s strani tega podjetja, naročilo preskusov in pridobitev dokumentacije o ustreznosti in uspešno opravljenih preizkusih.</t>
  </si>
  <si>
    <t>Preskus hidrantnega omrežja ki je sestavljen iz pregleda dokumentacije in preizkusa hidrantnega omrežja ter pridobitev pisnega poročila o ustreznosti hidrantnega omrežja.</t>
  </si>
  <si>
    <t>Dezinfekcijo sistemov pitne vode ter izpiranje, jemanje vzorcev, pregled ustreznosti vode in pridobitev izvida o ustreznosti. V primeru da izvidi niso ustrezni je izvajalec dolžan ponoviti postopke dezinfekcije in po potrebi izvesti dela za odpravo problema.</t>
  </si>
  <si>
    <t>Ureguliranje vseh cevnih razvodov z nastavitvijo regulacijskih elementov na posameznem končnem elementu in v sistemu, izvedbo meritev pretokov ter pridobitev zapisnika o uravnovešenju cevnih sistemov.</t>
  </si>
  <si>
    <t>Meritve in nastavitve količin zraka na posameznem končnem elementu s strani pooblaščenega podjetja ter pridobitev zapisnika o opravljenih meritvah in količinah. Če meritve niso ustrezne, je izvajalec dolžan izvesti potrebne nastavitve, dokler meritve ne izkazujejo ustreznih količin.</t>
  </si>
  <si>
    <t>Meritve mikroklime za letno in zimsko obratovanje ter izdaja potrdila o izpolnjevanju projektnih zahtev s strani pooblaščene organizacije.</t>
  </si>
  <si>
    <t>Označevanje cevovodov ter kanalov z označbo medija in smeri toka.</t>
  </si>
  <si>
    <t>Izdelava funkcionalnih shem posameznih sistemov v okvirju, nameščena na steno v strojnici, skupaj z navodili za uporabo posameznega sistema.</t>
  </si>
  <si>
    <t>Priprava podrobnih navodil za obratovanje in vzdrževanje elementov in sistemov v objektu. Uvajanje upravljavca sistemov investitorja, poučevanja, šolanja ter pomoč v prvem letu obratovanja.</t>
  </si>
  <si>
    <t xml:space="preserve">OGREVANJE </t>
  </si>
  <si>
    <t>KOTLOVNICA</t>
  </si>
  <si>
    <t>Plinski stenski kondenzacijski grelnik s prisilnim vlekom, lovilnikom kondenza s sifonom, montažno ploščo, nizkotemperaturno regulacijo delovanja kotla, kotlovsko črpalko, varnostni ventil (podp=3,0 bar), plinski ventil, zaporni ventil na dovodu in povratku, protipovratni ventil, polnilno praznilno pipo in temperature ogrevne vode za regulacijo temperature ogrevne vode v odvisnosti od zunanje temperature.</t>
  </si>
  <si>
    <t>Dobavi naj se vključno z vsem tesnilnim in montažnim materialom, zagonom, navodili v slovenskem jeziku, ter poučevanje osebja</t>
  </si>
  <si>
    <t>Kotel dosega normne izkoristke do 110, 5%, omogoča zvezno modulirano delovanje v območju od 15 - 100% nazivne moči,</t>
  </si>
  <si>
    <t>optimalno prilagajanje trenutnim potrebam po toploti ob minimalni porabi plina, ekološki znak "modri angel" zagotavlja zelo nizke emisije dimnih plinov, izredno tiho delovanje omogoča vgradnjo tudi v neposrednji bližini bivalnih prostorov, spiralna oblika notranjosti cevi toplotnega izmenjevalnika kar bistveno izbojša prenos toplote, uporabniku zelo prijazno in enostavno nastavljanje regulacijskih funkcij, preprost za servisiranje in vzdrževanje</t>
  </si>
  <si>
    <t xml:space="preserve">Qg = 45 kW </t>
  </si>
  <si>
    <t>U=230 V / 50 Hz</t>
  </si>
  <si>
    <t>BUDERUS tip Logamax plus GB 162 - 45</t>
  </si>
  <si>
    <t>ali enakovredni</t>
  </si>
  <si>
    <t>Sistem dovoda in odvoda zgorevalnega zraka za plinski grelnik tipa C9.3x, iz Al pločevine  100/60 mm, z zajemom zgorevalnega zraka iz dimnika ter odvodom preko Al cevi skozi dimnik, sestavljen iz:</t>
  </si>
  <si>
    <t>- priključnim kosom za kotel  ø80/125 mm</t>
  </si>
  <si>
    <t>- koaks. koleno z revizijsko odprtino  ø80/125 mm</t>
  </si>
  <si>
    <t>- koaks. ravni kos  ø80/125mm dolžine 1500 mm</t>
  </si>
  <si>
    <t>- kos za zajem zraka ø80/125mm</t>
  </si>
  <si>
    <t>- pokrivna plošča na steni</t>
  </si>
  <si>
    <t>- koleno 87° z nosilcem za pritrjevanje</t>
  </si>
  <si>
    <t>- razširitveni kos; ø80/110mm</t>
  </si>
  <si>
    <t>- dimna tuljava  ø110mm dolžine 18m</t>
  </si>
  <si>
    <t>- distančniki za vstavitev in pritrditev tuljave ø110mm v dimniku (6 kosov)</t>
  </si>
  <si>
    <t>- zaključna garnitura za zajem in izpuh zgorevalnega zraka na vrhu dimnika</t>
  </si>
  <si>
    <t>skupaj s tesnilnim in pritrdilnim materialom</t>
  </si>
  <si>
    <t>(pred dobavo je potrebno preveriti dejansko dolžino obstoječega dimnika ter pred izvedbo preveriti dimenzije jaška. Minimalna potrebna dimenzija je 150x150mm ali  ø160).</t>
  </si>
  <si>
    <t>BUDERUS ali enakovredni (za grelnik  GB 162 - 45)</t>
  </si>
  <si>
    <t>kpl.</t>
  </si>
  <si>
    <t>Pregled dimovodne napeljave s strani pooblaščene organizacije, pridobitev soglasja</t>
  </si>
  <si>
    <t>Mikroprocesorska stenska regulacija sistema ogrevanja, kompaktne izvedbe, prirejena za montažo na steno. Regulacija je prirejena za nizkotemperaturno delovanja kotla in temperature ogrevne vode v odvisnosti od zunanje temperature, vodenje enega kroga ogrevanja z obtočno črpalko in pripravo tople sanitarne vode.</t>
  </si>
  <si>
    <t>Avtomatika je dobavljena skupaj z:</t>
  </si>
  <si>
    <t>- zunanjim temperaturnim tipalom z zaščito proti direktnemu vplivu sonca,</t>
  </si>
  <si>
    <t>- 1 x potopnimi temperaturnimi tipali s tuljkami</t>
  </si>
  <si>
    <t>- potopnimi temperaturnim tipalom za bojler</t>
  </si>
  <si>
    <t xml:space="preserve">- kabelskimi povezavami, zagonom sistema, navodili za uporabo v slovenskem jeziku ter poučevanjem upravljalca </t>
  </si>
  <si>
    <t>BUDERUS tip R 4121 z MEC2 ali enakovredni</t>
  </si>
  <si>
    <t>Zaprta membranska raztezna posoda z navojnim priključkom, skupaj s tesnilnim in montažnim materialom</t>
  </si>
  <si>
    <t>Vcel = 200 l</t>
  </si>
  <si>
    <t>Vsis = 1000 l</t>
  </si>
  <si>
    <t xml:space="preserve">pi = 1,5 bar </t>
  </si>
  <si>
    <t>REFLEX tip N 200</t>
  </si>
  <si>
    <t>Hidravlični kretnica za ločitev primarnega in sekundarnega kroga ogrevne vode z navojnimi priključki ter holandci, avtomatskim odzračevalnim ločkom, priključkom za temperaturno tipalo s potopno tuljko, izpustno pipico DN20, skupaj z nosilnim podstavkom, EPS izolacijskim ohišjem z oplaščenjem, tesnilnim in montažnim materialom</t>
  </si>
  <si>
    <t>BUDERUS tip WHY 120/80</t>
  </si>
  <si>
    <t>Razdelilnik - zbiralnik pravokotnega preseka (dvojni), s sledečimi navojnimi priključki, pritrdilnim in tesnilnim materialom:</t>
  </si>
  <si>
    <t>- DN 40 2x navojni (spodaj)</t>
  </si>
  <si>
    <t>- DN 32 2x navojni</t>
  </si>
  <si>
    <t>- DN 40 2x navojni</t>
  </si>
  <si>
    <t>- DN 15 2x navojni (izpust)</t>
  </si>
  <si>
    <t>- 2 x navojnim kolčakom f15 za termometer, zaščiten s temeljno barvo, izoliran z izolacijo iz mineralne volne 5cm zaščitena z Al pločevino, tesnilnim, pritrdilnim in vijačnim materialom ter konzolami za postavitev</t>
  </si>
  <si>
    <t xml:space="preserve">85/85 mm (dolžine 800 mm) </t>
  </si>
  <si>
    <t>V =7,0 m3/h</t>
  </si>
  <si>
    <t>dimenzije 85/85mm</t>
  </si>
  <si>
    <t>Obtočna črpalka z elektronsko regulacijo, mokrim rotorjem, skupaj z navojnimi priključki, tesnilnim in vijačnim materialom Z vgrajenim elektronskim regulatorjem zvezne regulacije števila vrtljajev v odvisnosti od konstantnega/variabilnega dif. tlaka. Energetski razred: A Delovanje črpalke pri temperaturi medija od (–10°C do +110°C). Črpalka naj se dobavi skupaj z IF-modulom za zunanji nadzor in poročanu delovanja črpalke in za varnostno usmerjene-zaustavitev.</t>
  </si>
  <si>
    <t>V =2,6 m3/h</t>
  </si>
  <si>
    <t>Dp = 35kPa</t>
  </si>
  <si>
    <t>P= 80 W</t>
  </si>
  <si>
    <t>U=230 V</t>
  </si>
  <si>
    <t>WILO tip Stratos 30/1-6</t>
  </si>
  <si>
    <t>V = 2,9 m3/h</t>
  </si>
  <si>
    <t>Dp = 45 kPa</t>
  </si>
  <si>
    <t>Tripotni regulacijski ventil z navojnimi priključki s priključnimi holandci, skupaj z elektromotornim pogonom, tesnilnim in pritrdilnim materialom</t>
  </si>
  <si>
    <t>DN 20; PN 16</t>
  </si>
  <si>
    <t>kvs=10 m3/h</t>
  </si>
  <si>
    <t xml:space="preserve">U=230 V / 50 Hz </t>
  </si>
  <si>
    <t>dp=8 kPa</t>
  </si>
  <si>
    <t>ventil SIEMENS tip VXG 44.25-10</t>
  </si>
  <si>
    <t>pogon SIEMENS tip SQS 35.00  (tritočkovni)</t>
  </si>
  <si>
    <t>Ventil za hidravlično uravnoteženje, skupaj s tesnilnim materialom ter merilnimi priključki. Ventil je opremljen s funkcijami hidravličnega uravnoteženja, prednastavitve, omogoča meritve pretoka, tlačne razlike in temperature, ima zaporno funkcijo in omogoča izpust. Skupaj z pritrdilnim in vijačnim materialom.</t>
  </si>
  <si>
    <t>Ventil naj se dobavi in vgradi skupaj z meritvami in nastavitvami pretokov na vseh elementih, hidravlično ureguliranje in balansiranje cevnih razvodov ter razdelilnikov, pregled delovanja vseh sistemov, izdelava zapisnika ter poročila za tehnični pregled s strani pooblaščene organizacije.</t>
  </si>
  <si>
    <t>DN 32; PN 16</t>
  </si>
  <si>
    <t>IMI TA tip STAD,</t>
  </si>
  <si>
    <t>DN 40; PN 16</t>
  </si>
  <si>
    <t>Zaporni ventil z navojnima priključkoma z varovalom proti nepooblaščenemu zapiranju po DIN 4751/2, skupaj s tesnilnim materialom (servisni ventil)</t>
  </si>
  <si>
    <t>DN 20</t>
  </si>
  <si>
    <t>CALEFFI</t>
  </si>
  <si>
    <t>MS krogelna zaporna pipa z navojnima priključkoma, s podaljšano ročko za posluževanje, skupaj s tesnilnim in vijačnim materialom</t>
  </si>
  <si>
    <t>DN 32, PN 10</t>
  </si>
  <si>
    <t>DN 40, PN 10</t>
  </si>
  <si>
    <t>Krogelna pipa za praznjenje z navojnima priključkoma, z zaporno kapo, tesnilom in verižico, vijačnim spojem za gibko cev, skupaj s tesnilnim in vijačnim materialom</t>
  </si>
  <si>
    <t>DN 15, PN 10</t>
  </si>
  <si>
    <t>Protipovratni ventil z navojnima priključkoma, skupaj z EPDM tesnili ter tesnilnim in vijačnim materialom</t>
  </si>
  <si>
    <t>DN 32, PN 6</t>
  </si>
  <si>
    <t>DN 40, PN 6</t>
  </si>
  <si>
    <t>Lovilec nesnage z navojnimima priključkoma, s sitom, magnetnim vložkom, skupaj s tesnilnim in pritrdilnim materialom.</t>
  </si>
  <si>
    <t>Manometer v okroglem ohišju f80 mm z merilnim območjem do 6 bar z varilnim kolčakom, navojnim priključkom DN 15, manometrsko navojno pipico DN 15, komplet z montažnim in tesnilnim materialom</t>
  </si>
  <si>
    <t>Termometer v okroglem ohišju f80, z navojnim priključkom R 1/2", komplet z montažnim in tesnilnim materialom</t>
  </si>
  <si>
    <t>- z merilnim območjem od +0 do +120 °C</t>
  </si>
  <si>
    <t>22×1,2  (DN 20)</t>
  </si>
  <si>
    <t>35×1,5  (DN 32)</t>
  </si>
  <si>
    <t>42×1,5  (DN 40)</t>
  </si>
  <si>
    <t>VIEGA tip PRESTABO</t>
  </si>
  <si>
    <t xml:space="preserve">Toplotna izolacija razvoda ogrevne vode s cevno izolacijo iz sintetičnega kavčuka z zaprto celično strukturo, zpolnjuje pogoje za preprečevanje toplotnih izgub, korozije, rosenja in kondenzacije, prenosa hrupa na gradbeno konstrukcijo, elastična in odporna od -50°C do +105 °C, </t>
  </si>
  <si>
    <t>z visoko odpornostjo proti prehodu vodne pare (η&gt;7.000) skladno z EN 12086 in EN 13469 in nizko toplotno prevodnostjo (λd(0°C)=0,035 W/mK) skladno z EN 8497, skupaj z lepilom ter obdelavo fazonskih kosov ter armatur</t>
  </si>
  <si>
    <t>debeline 25 mm</t>
  </si>
  <si>
    <t>22x1,2 (DN 20)</t>
  </si>
  <si>
    <t>42x1,5 (DN40)</t>
  </si>
  <si>
    <t>ARMACELL tip ARMAFLEX XG</t>
  </si>
  <si>
    <t>Zaščita toplotne izolacije v kotlovnici, izoliranih z izolacijo iz sintetičnega kavčuka, proti mehanskim poškodbam z Al pločevino in spet s kniping vijaki</t>
  </si>
  <si>
    <t>Avtomatski odzračevalnik mikro zračnih mehurčkov z navojnima priključkoma ter krogelno pipico, skupaj s tesnilnim in montažnim materialom</t>
  </si>
  <si>
    <t>DN25, PN6</t>
  </si>
  <si>
    <t>Projektiranana rešitev:</t>
  </si>
  <si>
    <t>Pneumatex tip ZEPARO ZUT 25</t>
  </si>
  <si>
    <t>Odzračevalni lonček, skupaj s povezovalno cevko f10 dolžine cca 10 m, krogelnim ventilom DN 10 ter tesnilnim in pritrdilnim materialom</t>
  </si>
  <si>
    <t>V = 1 l</t>
  </si>
  <si>
    <t>Lijak iz jeklene pločevine skupaj z izpustno cevjo dolžine 5m, l=400mm</t>
  </si>
  <si>
    <t xml:space="preserve">MS avtomatski odzračevalni ventil z navojem R 3/8" skupaj z varilnim črnim kolčakom in tesnilnim  materialom </t>
  </si>
  <si>
    <t>Pneumatex tip ZEPARO ZUP 10</t>
  </si>
  <si>
    <t>Vgradnja potopnih tulk za vstavitev temperaturnih tipal, skupaj z vijačnim in tesnilnim materialom</t>
  </si>
  <si>
    <t>Izdelava požarno odpornih prebojev na prehodih cevi skozi meje požarnih celic in sektorjev po SZPV 408 skupaj z označbo prebojev ter izdelavo tehnične dokumentacije z dokumentiranjem vseh prebojev</t>
  </si>
  <si>
    <t>za izolirane cevi 50×20 cm</t>
  </si>
  <si>
    <t>Polnjenje sistema ogrevanja z mehčano vodo preko nevtralnega kationskega izmenjevalca, odzračevanje, tlačni in tesnostni preizkus omrežja, zagon sistema, regulacija naprav, meritve stopnje trdote ter pH vrednosti ogrevne vode, dodajanje korekcijske tekočine z ročno dozirno napravo, ponovne meritve ustreznosti ter poučevanje osebja, da se zagotovi ustrezna pH vrednost vode po navodilih proizvajalca ogrevalnega sistema.</t>
  </si>
  <si>
    <t>cca 1000l</t>
  </si>
  <si>
    <t>RADIATORSKO OGREVANJE</t>
  </si>
  <si>
    <t>10/600-400</t>
  </si>
  <si>
    <t>11/600-1200</t>
  </si>
  <si>
    <t>11/600-1400</t>
  </si>
  <si>
    <t>11/900-400</t>
  </si>
  <si>
    <t>11/900-700</t>
  </si>
  <si>
    <t>21/600-800</t>
  </si>
  <si>
    <t>21/600-900</t>
  </si>
  <si>
    <t>21/900-400</t>
  </si>
  <si>
    <t>21/900-600</t>
  </si>
  <si>
    <t>33/900-1400</t>
  </si>
  <si>
    <t>DELONGHI tip Radel R6</t>
  </si>
  <si>
    <t>Danfoss tip RA 2940</t>
  </si>
  <si>
    <t>Ventil naj se dobavi skupaj s varovalko in pokrovček skale.</t>
  </si>
  <si>
    <t>Danfoss tip RA 2920</t>
  </si>
  <si>
    <t>Cevni radiatorji s sredinskim priključkom, izdelani za delovni tlak PN 6bar in temperaturo 110°C, skupaj s čepi, reducirkami, konzolami za pritrditev na steno in pritrdilnim materialom.</t>
  </si>
  <si>
    <t>1713-500</t>
  </si>
  <si>
    <t>1713-600</t>
  </si>
  <si>
    <t>1900-600</t>
  </si>
  <si>
    <t>DELONGHI DolceVita Linea</t>
  </si>
  <si>
    <t>Radiatorski priključni in korekcijski set s termostatskim kotnim ventilom (z razmakom med priključkoma 50mm), termostatsko glavo, z omejevalnikom temperature povratka, za dvocevni sistem ogrevanja izdelan za delovni tlak NP6 in temperaturo 120°C, skupaj s ter vsem z montažnim in tesnilnim materialom</t>
  </si>
  <si>
    <t>DN 10 (bele barve) - kotni</t>
  </si>
  <si>
    <t>set Danfoss tip VHX - Duo + RTX, kotni RAL 9016 bela</t>
  </si>
  <si>
    <t>- termostatskimi ventili M30x1,5 na povratku vsake zanke,</t>
  </si>
  <si>
    <t>- nastavljivimi regulatorji pretoka na dovodu vsake zanke,</t>
  </si>
  <si>
    <t>- spominska funkcija pretoka (s pomočjo diagrama tlačnih padcev),</t>
  </si>
  <si>
    <t>- ročne odzračevalne pipice,</t>
  </si>
  <si>
    <t>- polnilno praznilne pipe,</t>
  </si>
  <si>
    <t>- montažne konzole ki onemogočajo prenos šumov na ogrevalni sistem, skupaj s tesnilnim in montažnim ter elektro materialom</t>
  </si>
  <si>
    <t>- razmak med vejami znaša 50mm</t>
  </si>
  <si>
    <t>- priklop cevi na tokokroge - 3/4 eurokonus</t>
  </si>
  <si>
    <t xml:space="preserve"> razdelilnik 4 zank / DN25</t>
  </si>
  <si>
    <t xml:space="preserve"> dolžina 292 mm </t>
  </si>
  <si>
    <t>Veto tip Vselect Standard Inox</t>
  </si>
  <si>
    <t xml:space="preserve"> razdelilnik 5 zank / DN25</t>
  </si>
  <si>
    <t xml:space="preserve"> dolžina 342 mm </t>
  </si>
  <si>
    <t>MS krogelna zaporna pipa z ročko za posluževanje (metulček), navojnima priključkoma ter tesnilnim materialom</t>
  </si>
  <si>
    <t>(za montažo na razdelilnik radiatorskega ogrevanja)</t>
  </si>
  <si>
    <t>DN 10</t>
  </si>
  <si>
    <t>DN 15</t>
  </si>
  <si>
    <t>MS krogelna zaporna pipa z navojnima priključkoma, s podaljšano ročko za posluževanje, s termometrom (rdeče ali modre barve),skupaj s tesnilnim in vijačnim materialom</t>
  </si>
  <si>
    <t>DN 25, PN 6</t>
  </si>
  <si>
    <t>Veto tip Vselect s termometrom</t>
  </si>
  <si>
    <t>Regulacijski ventil za hidravlično uravnoteženje z navojnima priključkoma, s funkcijami :</t>
  </si>
  <si>
    <t>- prednastavitev,</t>
  </si>
  <si>
    <t>- meritev pretoka, tlačne razlike in temperature,</t>
  </si>
  <si>
    <t>- zaporno funkcijo,</t>
  </si>
  <si>
    <t>- izpustom</t>
  </si>
  <si>
    <t>Osnovne karakteristike:</t>
  </si>
  <si>
    <t>- zvezna nastavitev z ročnim oštevilčenim kolesom</t>
  </si>
  <si>
    <t>- samotesnilna merilna priključka,</t>
  </si>
  <si>
    <t>- fiksiranje nastavitve kolesa,</t>
  </si>
  <si>
    <t>- možnost praznjenje in polnjenje sistema,</t>
  </si>
  <si>
    <t>- merilni priključki in kolo na eni strani,</t>
  </si>
  <si>
    <t>- meritve pretokov, tlakov in temperatur z instrumentom</t>
  </si>
  <si>
    <t>- adapter za izpust lahko vgradimo, ko je sistem pod tlakom</t>
  </si>
  <si>
    <t>Ventil naj se dobavi in vgradi skupaj s tesnilnim in pritrdilnim materialom</t>
  </si>
  <si>
    <t>Opomba: Pretoki za nastavitev ventilov so razvidni v shemi</t>
  </si>
  <si>
    <t>DANFOSS tip MSV-BD</t>
  </si>
  <si>
    <t>- merilnika pretoka (Qn= 1,5 m3/h) za temperaturno območje uporabe (1-90ºC)</t>
  </si>
  <si>
    <t>- mikroprocesorske računske enote z 0,5m povezovalnega kabla,</t>
  </si>
  <si>
    <t>- LCD prikazovalnikom, signalom ob napaki z Litijevo baterijo za 10 letno obratovanje</t>
  </si>
  <si>
    <t>- temperaturnimi tipali tip Pt 500 za potopno tulko, ter tip Ps50/Ø6mm za na dovod in povratek povezovalnih kablov, ki sta dolžine 1,2 m</t>
  </si>
  <si>
    <t>- EAT ohišja</t>
  </si>
  <si>
    <t>- konektor za vezavo voomerov istega stanovanja</t>
  </si>
  <si>
    <t>Števec omogoča odčitavanje porabe toplote, povezovanje s sistemom za daljinsko odčitavanje, ki temelji na M-Bus protokolu.</t>
  </si>
  <si>
    <t>Pri dobavi in montaži naj se še upošteva zagon sistema, navodila za uporabo v slovenskem jeziku ter poučevanjem upravljavca</t>
  </si>
  <si>
    <t>Qp= 1,5 m3/h</t>
  </si>
  <si>
    <t>ALLMESS</t>
  </si>
  <si>
    <t>tip INT-V UltraMaXX QP1,5 TH6-1,2M</t>
  </si>
  <si>
    <t>Difuzijsko tesna večplastna cev (sestavljena iz: PE-RT - vezni sloj - vzdolžno prekrivno varjen aluminij - vezni sloj - PE-RT) za kletne razvode, dvižne vode in priključne razvode pri ogrevanju. Požarna klasifikacija E v skladu z DIN 13501-1. Oba konca cevi opremljena z zaključno kapo, skupaj s fazonskimi kosi ter držali (kolena, T-kosi, navojni priključki, prehodni kosi...)</t>
  </si>
  <si>
    <t>Obstojnost na temperaturo:</t>
  </si>
  <si>
    <t>Ogrevanje: Maksimalna trajna obratovalna temperatura je 80°C pri maksimalnem trajnem obratovalnem tlaku 10 barov. Kratkotrajna temperatura, pri kateri bo prišlo do poškodb je 100°C (maksimalno 100 ur v obratovalni življenjski dobi). Skupaj s toplotno izolacijo debeline 9 mm.</t>
  </si>
  <si>
    <t>16 x 2,0 mm (DN 10)</t>
  </si>
  <si>
    <t>20 x 2,25 mm (DN 15)</t>
  </si>
  <si>
    <t xml:space="preserve">Toplotna izolacija razvoda ogrevne vode v tlaku (od omaric radiatorskega ogrevanja do radiatorjev) s cevno izolacijo iz sintetičnega kavčuka z zaprto celično strukturo, zpolnjuje pogoje za preprečevanje toplotnih izgub, korozije, rosenja in kondenzacije, prenosa hrupa na gradbeno konstrukcijo, elastična in odporna od -50°C do +105 °C, </t>
  </si>
  <si>
    <t>debeline 9 mm</t>
  </si>
  <si>
    <t>28×1,2  (DN 25)</t>
  </si>
  <si>
    <t>Čiščenje in miniziranje vseh cevi iz neplemenitega jekla, ter obešalnik konzol</t>
  </si>
  <si>
    <t xml:space="preserve">Toplotna izolacija razvoda ogrevne vode (do omaric radiatorskega ogrevanja) s cevno izolacijo iz sintetičnega kavčuka z zaprto celično strukturo, zpolnjuje pogoje za preprečevanje toplotnih izgub, korozije, rosenja in kondenzacije, prenosa hrupa na gradbeno konstrukcijo, elastična in odporna od -50°C do +105 °C, </t>
  </si>
  <si>
    <t>debeline 13 mm</t>
  </si>
  <si>
    <t>debeline 19 mm</t>
  </si>
  <si>
    <t>debeline 32 mm</t>
  </si>
  <si>
    <t>42x1,5 (DN 40)</t>
  </si>
  <si>
    <t>Zaščita toplotne izolacije (razvodi po hodniku) v kotlovnici, izoliranih z izolacijo iz sintetičnega kavčuka, proti mehanskim poškodbam z Al pločevino in spet s kniping vijaki</t>
  </si>
  <si>
    <t>Montažna konzola izdelavo radiatorskega priključka pred montažo radiatorjev (radiatorji s sredinjskimi priključki in montažo na steno), skupaj s  bay-pass čepom, zaščitnimi čepi, letev za montažo radiatorskih konzol, montažnim in pritrdilnim materialom</t>
  </si>
  <si>
    <t>DELONGHI</t>
  </si>
  <si>
    <t>Montažna konzola za vgradnjo termostatskega ventila pred montažo cevnih radiatorjev (kopalniški radiatorji s sredinjskimi priključki), skupaj s  bay-pass čepom, zaščitnimi čepi, montažnim in pritrdilnim materialom</t>
  </si>
  <si>
    <t>VODOVOD IN VERTIKALNA KANALIZACIJA</t>
  </si>
  <si>
    <t>VODOVODNI PRIKLJUČEK</t>
  </si>
  <si>
    <t>Zakoličba osi cevovoda z zavarovanjem osi, oznako horizontalnih in vertikalnih lomov, oznako vozlišč, odcepov in zakoličba mesta prevezave na obstoječi cevovod ter vris v kataster  in izdelava geodetskega posnetka</t>
  </si>
  <si>
    <t>Priprava gradbišča, odstranitev eventualnih ovir in ureditev delovnega platoja ter vzpostavitev prvotnega stanja po končanih delih</t>
  </si>
  <si>
    <t>Zavarovanje gradbišča s predpisano prometno signalizacijo kot so letve, opozorilne vrvice, znaki, svetlobna telesa, objava v javnih glasilih</t>
  </si>
  <si>
    <t>(del trase, ki poteka po javnih površinah)</t>
  </si>
  <si>
    <t>Zakoličba obstoječih komunalnih vodov ter stroški nadzora predstavnikov prizadetih komunalnih organizacij v času gradnje</t>
  </si>
  <si>
    <t>Postavitev provizornih dostopov do objektov preko izkopanih jarkov iz plohov 5 cm širine 1,00 m</t>
  </si>
  <si>
    <t>(prenosljivi)</t>
  </si>
  <si>
    <t>Postavljanje gradbenih profilov na vzpostavljeno os trase cevovoda ter določitev nivoja za merjenje globine izkopa in polaganje cevovoda (2 zakoličbeni točki)</t>
  </si>
  <si>
    <t>Rezanje, odstranjevanje ter ponovna izdelava asfaltnega cestišča debeline 12 cm, z izdelavo tamponskega in nosilnega ustroja</t>
  </si>
  <si>
    <t>Strojni izkop jarka v suhem terenu širine do 2 m, globine do 2 m, s pravilnim odsekavanjem vertikal oz. poševnih stranic in odmetom materiala 1,0 m od roba jarka</t>
  </si>
  <si>
    <t>(90% celotnega izkopa)</t>
  </si>
  <si>
    <t>vse v terenu III - IV. kategorije</t>
  </si>
  <si>
    <t>Ročni izkop jarka v suhem terenu širine do 2 m, globine do 2 m, s pravilnim odsekavanjem vertikal oz. poševnih stranic in odmetom materiala 1,0 m od roba jarka</t>
  </si>
  <si>
    <t>(10% celotnega izkopa)</t>
  </si>
  <si>
    <t xml:space="preserve">Izdelava armirano betonskega vodomernega jaška notranje dimenzije 170 x 120 x190 cm po priloženem </t>
  </si>
  <si>
    <t xml:space="preserve">detajlu z opažanjem, armiranjem, zunanjo hidroizolacijo (2x bitumenski premaz), LŽ pokrovom D250 600x600mm, </t>
  </si>
  <si>
    <t>vstopno varnostno lestevijo ter pomožni vstopni element, izdelana in preizkušena v skladu z DIN 3620, DVGW 351, UVV, VBG 74, glede obremenitve pa po DIN 1879 (1 del). Varnostna lestev je zvarjena v zaščitni atmosferi</t>
  </si>
  <si>
    <t>ter pasivirana v kopeli. Nosilci so iz specialnega profila visoke togosti (dim. 56 x 24 x 2 mm), prečke oziroma klini iz U-profila z rebrasto stopalno površino (dim. 25mm po UVV), razdalje med klini 280 mm. Svetla širina lestve</t>
  </si>
  <si>
    <t>je 300 mm. Na steno jaška je pritrjena z 150 mm dolgimi, višinsko nastavljivimi zidnimi pritrdilnimi ročaji za pritrditev z mozniki. Vgrezljiv vstopni element je sestavljen iz držala ter vodila.</t>
  </si>
  <si>
    <t xml:space="preserve"> Držalo je iz vzvojne stabilne cevi dimenzije 33,7 x 3,25 mm, zgoraj upognjene pod kotom 90°, na obeh straneh zaprte z PVC kapami. Celotna dolžina držala v izvlečenem stanju je 1100 mm. </t>
  </si>
  <si>
    <t>Vodilo, z možnostjo blokade držala je opremljeno s štirimi luknjami, premera 12 mm, za pritrditev na steno jaška.</t>
  </si>
  <si>
    <t>Razpiranje izkopanega jarka na mestih, kjer nastopa možnost zasipanja</t>
  </si>
  <si>
    <t>(predvidoma 2% od skupne dolžine trase)</t>
  </si>
  <si>
    <t>Planiranje dna jarka v ravnini ali vzdolžnih naklonih pri normalnih pogojih v vseh kategorijah</t>
  </si>
  <si>
    <t>Izdelava peščenega nasipa za izravnavo dna jarka debeline 10 cm z 2 x sejanim peskom</t>
  </si>
  <si>
    <t>Nabava in transport materiala za izdelavo nasipa nad položeno cevjo. Na nasip za izravnavo jarka se izvede 3 - 5 cm debel nasip za poravnavo tal v katerega si cev izdela ležišče. Obsip cevi se izvaja v slojih po 15 - 20 cm istočasno na obeh straneh cevi.</t>
  </si>
  <si>
    <t>Planiranje in čiščenje terena vzdolž trase po zasutju cevovoda v širini 2,5 m</t>
  </si>
  <si>
    <t>Odvoz preostalega izkopanega materiala deponiranega kraj jarka z nakladanjem in razkladanjem ter odvozom na trajno deponijo s pridobitvijo evidenčnih listov</t>
  </si>
  <si>
    <t xml:space="preserve">Obbetoniranje fazonov (horizontalnih in vertikalnih lokov, odcepov ter podstavkov za hidrante z MB 20 </t>
  </si>
  <si>
    <t>Obbetoniranje cestnih kap zasunov z MB 20 z vsemi pomožnimi deli</t>
  </si>
  <si>
    <t>MATERIAL</t>
  </si>
  <si>
    <t xml:space="preserve">NL fazonski kosi po EN 545:2010 (nodularna litina) na notranji strani zaščitena z epoksi žaščito minimalno 70μm, skupaj s tesnilnim ter vijačnim materialom (za vsako flanšo DN 80 je predvideno 8 vijakov M16 - L/X=85/57, za vsako flanšo DN 100 je predvideno 8 vijakov M16 - L/X=90/62, za vsako flanšo DN 150 je predvideno 8 vijakov M20 - L/X=100/72, za vsako flanšo DN 200 je predvideno 12 vijakov M20 - L/X=100/72, za vsako flanšo DN 250 je predvideno 12 vijakov M24 - L/X=110/82); ves tesnilni in pritrdilni material se dobavlja v kompletu z fazonskimi kosi) </t>
  </si>
  <si>
    <t xml:space="preserve">(DUCTIL NATURAL)          </t>
  </si>
  <si>
    <t xml:space="preserve"> - FFR kos DN 80/50</t>
  </si>
  <si>
    <t xml:space="preserve"> - T kos DN 80/50</t>
  </si>
  <si>
    <t>Univerzalna spojka iz nodularne litine EN-GJS-400, epoksi prašno lakirana po EN 14525, prirobnica po standardu EN 1092-2 PN10, skupaj z vijaki in tesnili po EN 681-1 (primeren za pitno vodo)</t>
  </si>
  <si>
    <t>HAWLE SYNOFLEX ali enakovredni</t>
  </si>
  <si>
    <t>DN 80 (d85-105)</t>
  </si>
  <si>
    <t>Zasun kratke izvedbe sestavljen iz:</t>
  </si>
  <si>
    <t xml:space="preserve">zasuna iz nodularne litine EN-GJS-400-18 po EN 1563 </t>
  </si>
  <si>
    <t>- teleskopska vgradna garnitura (globina 1,3-1,8m), spajanje z oklepom na bajonet ali navoj (brez dodatnega fiksiranja z vtičem), omogoča kompakten spoj za potrebe posluževanja v zemljo vgrajene armature,</t>
  </si>
  <si>
    <t>- cestna kapa – mala (dimenzije pokrova ø95), ohišje kape in pokrov iz nodularne litine, bitumensko in dodatno protikorozijsko epoxi prašno zaščiten. Naleganje pokrova konusno z podaljšanim zobom. Pokrov v celoti odstranljiv. Možnost prilagajanja glede na teren s pripadajočimi distančnimi obroči,</t>
  </si>
  <si>
    <t>- nosilna podložna plošča iz umetnega materiala se namesti pod cestno kapo in ustreza tipu vgradne garniture,</t>
  </si>
  <si>
    <t>skupaj s tesnilnim in vijačnim materialom</t>
  </si>
  <si>
    <t>HAWLE 4000E2 ali enakovredni</t>
  </si>
  <si>
    <t>DN 80</t>
  </si>
  <si>
    <t>PE cev po SIST EN 12201 (SDR 11) skupaj z vsem tesnilnim in montažnim materialom</t>
  </si>
  <si>
    <t>PE 100 d 63 x 5,8</t>
  </si>
  <si>
    <t>Vodomer z impulznim izhodom, opremljen z impulznim izhodom na vodomeru, brezpotencialni senzor »DISK REED« za vodomer impulz 1/100 skupaj z montažno konzolo z nastavljivimi spojnicami ter tesnilnim in vijačnim materialom</t>
  </si>
  <si>
    <t>DN 40, Qn =10 m3/h, PN16</t>
  </si>
  <si>
    <t>MS navojna krogelna pipa, skupaj z navojnima priključkoma, ročko za posluževanje ter tesnilnim materialom</t>
  </si>
  <si>
    <t>DN 50</t>
  </si>
  <si>
    <t>DN 50 z izpustom</t>
  </si>
  <si>
    <t>Drobni inštalacijski material za izvedbo vodovoda</t>
  </si>
  <si>
    <t>- spojka za PE cevi z navojnim priključkom Ø 40/DN 32</t>
  </si>
  <si>
    <t>-reducirni kos DN 50/DN 40 pocinkani</t>
  </si>
  <si>
    <t>-koleno DN 50 pocinkani</t>
  </si>
  <si>
    <t>-T kos DN 50/50 pocinkani</t>
  </si>
  <si>
    <t xml:space="preserve">HAWLE 0400 </t>
  </si>
  <si>
    <t>DN 50 (d63)</t>
  </si>
  <si>
    <t xml:space="preserve">Univerzalni fitingi iz nodularne litine EN-GJS-400, epoksi prašno lakirana po EN 14525, navojni priključek PN10, skupaj tesnili </t>
  </si>
  <si>
    <t xml:space="preserve">HAWLE 6100 </t>
  </si>
  <si>
    <t>Dobava in polaganje signalno opozorilnega traku</t>
  </si>
  <si>
    <t>Tlačni preizkus hišnih priključkov po standardu SIST EN 805 ter  navodilih upravljalca vodovoda</t>
  </si>
  <si>
    <t>- dolžina priključka 9 m</t>
  </si>
  <si>
    <t>Dezinfekcija položenega cevovoda po standardu SIST EN 805, navodilih DVGW W 291 ter navodilih IVZ</t>
  </si>
  <si>
    <t>Nadzor s strani upravnika javnega vodovoda</t>
  </si>
  <si>
    <t>NOTRANJA VODOVODNA INŠTALACIJA</t>
  </si>
  <si>
    <t>Stranišče iz sanitarne keramike, bele barve sestoječe se iz WC školjke z zadnjim iztokom, konzolne izvedbe, skupaj z masivno sedežno desko, kompletno z montažnim in tesnilnim materialom</t>
  </si>
  <si>
    <t>(Dolomite Clodia ali enakovredni)</t>
  </si>
  <si>
    <t>Samostoječi vgradni splakovalnik za stranišče konzolne izvedbe z zadnjim iztokom, za suho gradnjo skupaj s</t>
  </si>
  <si>
    <t>- podometnim vgrajenim izplakovalnim kotličkom V=6/3l z aktiviranjem od spredaj,</t>
  </si>
  <si>
    <t>- komplet elementov za pritrditev na steno in v tla,</t>
  </si>
  <si>
    <t>- odtočnim kolenom,</t>
  </si>
  <si>
    <t>- komplet elementov za priključitev splakovalnika na vodovodno omrežje komplet za montažo WC školjke,</t>
  </si>
  <si>
    <t>- WC priključno garnituro,</t>
  </si>
  <si>
    <t>- setom za zvočno izolacijo,</t>
  </si>
  <si>
    <t>- dvodelno varčno tipko,</t>
  </si>
  <si>
    <t>(posluževanje od spredaj)</t>
  </si>
  <si>
    <t>(Geberit Duofix ali enakovredni)</t>
  </si>
  <si>
    <t>- podometnim vgrajenim izplakovalnim kotličkom V=6/3 l z aktiviranjem od spredaj,</t>
  </si>
  <si>
    <t>- dodatek za ročno pnevmatsko daljinsko proženje izplakovalnega kotlička, za podometno montažo, skupaj s povezavo ter montažnim materialom</t>
  </si>
  <si>
    <t>(Dolomite Novela ali enakovredni)</t>
  </si>
  <si>
    <t>velikosti 450x350 mm</t>
  </si>
  <si>
    <t>velikosti 600x510 mm</t>
  </si>
  <si>
    <t>Samostoječi vgradni element za umivalnik, za suho gradnjo za vgradno globino 80 – 140 mm in nastavljivo konzolo za pritrditev umivalnika 150 – 300 mm skupaj s</t>
  </si>
  <si>
    <t>- komplet elementi za pritrditev na steno,</t>
  </si>
  <si>
    <t>- nastavljivimi kovinskimi priključki za vodovodno omrežje,</t>
  </si>
  <si>
    <t>- elementi za montažo in priključitev umivalnika,</t>
  </si>
  <si>
    <t>(Geberit Duofix)</t>
  </si>
  <si>
    <t>Priključitev pomivalnega korita komplet z enoročno mešalno baterijo (dobava in montaža), kotnima regulirnima ventiloma (eden s priključkom za pomivalni stroj), odtočnim ventilom s čepom na verižici, odtočnim sifonom, priključkom za pomivalni stroj, vključno ves montažni in tesnilni material</t>
  </si>
  <si>
    <t>Oprema pršne kadi:</t>
  </si>
  <si>
    <t>-pršna mešalna baterija s komolčnim posluževanjem, z ročno prho z zapiralom vode na konzoli</t>
  </si>
  <si>
    <t xml:space="preserve"> Kvadratni element za prhe v nivoju tal dimenzije 90 x 90 cm skupaj s:</t>
  </si>
  <si>
    <t>kabina s polmat zasteklitvijo skupaj s pritrdilnim in montažnim materialom</t>
  </si>
  <si>
    <t>-horizontalni talni sifon DN50 s tesnilno prirobnico, sifonskim vložkom, odtokom DN 50 s krogličnim zglobom, skrajšljivim okvirnim nastavkom in nerjavečo jekleno rešetko 150x150mm. Vgradna zaščita je zajeta z dobavo</t>
  </si>
  <si>
    <t>- dvižni element</t>
  </si>
  <si>
    <t>gradbeni zaščitni pokrov</t>
  </si>
  <si>
    <t>skupaj s pritrdilnim in montažnim materialom</t>
  </si>
  <si>
    <t>(Wedi Fondo Riolito)</t>
  </si>
  <si>
    <t>velikost 900x900 mm</t>
  </si>
  <si>
    <t>-pršna mešalna baterija s komolčnim posluževanjem, z ročno prho z zapiralom vode na konzoli, skupaj s sedežem ter držali za invalide</t>
  </si>
  <si>
    <t>(Dolomite Atlantis)</t>
  </si>
  <si>
    <t>-L kabina sestavljeno iz dveh zložljivih stranic na vsaki strani višine 90cm skupaj s pritrdilnim in montažnim materialom</t>
  </si>
  <si>
    <t>Trokadero - izlivnik konzolne izvedbe iz sanitarne keramike komplet z:</t>
  </si>
  <si>
    <t>- izpiralnim ventilom DN 20,</t>
  </si>
  <si>
    <t xml:space="preserve">- zidno mešalno baterijo z dolgim premičnim iztokom s tuš ročko </t>
  </si>
  <si>
    <t>- pokromano dvižno mrežo,</t>
  </si>
  <si>
    <t xml:space="preserve">  vključno s tesnilnim in pritrdilnim materialom</t>
  </si>
  <si>
    <t>(Dolomite Brenta ali enakovredni)</t>
  </si>
  <si>
    <t>Samostoječi vgradni element za trokadero za suho gradnjo za vgradno globino 80 – 140 mm in nastavljivo konzolo skupaj s</t>
  </si>
  <si>
    <t>- elementi za montažo in priključitev trokadera,</t>
  </si>
  <si>
    <t>(Geberit ali enakovredni)</t>
  </si>
  <si>
    <t>Večfunkcijski termostatski ventil za zagotovitev takojšnje dobave tople sanitarne vode na cirkulacijskih vertikalah, z navojnim priključkom PN10, adapterjem za elektrotermični pogon TWA – A in adapterjem za kabelsko tipalo. Nastavitveno območje temperature znaša 40 do 60°C.</t>
  </si>
  <si>
    <t>DANFOSS MTCV verzija B ali enakovredni</t>
  </si>
  <si>
    <t>MS navojna krogelna pipa, skupaj z ročko za posluževanje, skupaj s tesnilnim materialom</t>
  </si>
  <si>
    <t>KOVINA tip KV 40.. ali enakovredni</t>
  </si>
  <si>
    <t>DN 15 z izpustom</t>
  </si>
  <si>
    <t>DN 20 z izpustom</t>
  </si>
  <si>
    <t>DN 25 z izpustom</t>
  </si>
  <si>
    <t>DN 32 z izpustom</t>
  </si>
  <si>
    <t>Vzidna omarica za vgradnjo dveh vodomerov skupaj s</t>
  </si>
  <si>
    <t>- krogelnimi pipami,</t>
  </si>
  <si>
    <t>- enocevnim priključnim elementom za vodomer EAT ¾” (110mm)</t>
  </si>
  <si>
    <t>skupaj s tesnilnim ter drobnim montažnim materialom, tacami za vzidavo ter vratci, popleskanimi s temeljno in zaščitno belo barvo</t>
  </si>
  <si>
    <t>vgradne dimenzije</t>
  </si>
  <si>
    <t>višina: 380 mm</t>
  </si>
  <si>
    <t>širina: 380 mm</t>
  </si>
  <si>
    <t>globina: 90 - 140 mm</t>
  </si>
  <si>
    <t>projektna rešitev:</t>
  </si>
  <si>
    <t>ALLMESS tip MS-2WZ 110 ali enakovredni</t>
  </si>
  <si>
    <t>Ohišje vodomera ter zaporni ventil je dobavljen v sklopu inštalacijskih jaškov.</t>
  </si>
  <si>
    <t xml:space="preserve">- izmenljivi merilni vložek AMES 3-K+m (impulzni izhod) </t>
  </si>
  <si>
    <t xml:space="preserve">- izmenljivi merilni vložek AMES 3-W+m (impulzni izhod) </t>
  </si>
  <si>
    <t>Pretvornik impulzov z M-BUS izhodom z možnostjo priključitve dveh elementov z impulznim izhodom</t>
  </si>
  <si>
    <t>Allmess ali enakovredni</t>
  </si>
  <si>
    <t>Mikroprocesorska centralna enota za zajem podatkov v M-Bus sistemu opremljena in dobavljena z:</t>
  </si>
  <si>
    <t>- RS232 vmesnik</t>
  </si>
  <si>
    <t>- hitrost prenosa podatkov 300 in 2400 Bit/s</t>
  </si>
  <si>
    <t>- maksimalno število priključenih naprav je 32</t>
  </si>
  <si>
    <t>- maksimalna dolžina kabla je 1000 m</t>
  </si>
  <si>
    <t>- nominalna napetost 28 VDC</t>
  </si>
  <si>
    <t>- maksimalni tok 55 mA</t>
  </si>
  <si>
    <t>- maksimalna poraba 3 W</t>
  </si>
  <si>
    <t>- maksimalna obremenilna kapacitivnost 1.5 uF</t>
  </si>
  <si>
    <t>- obratovalna temperatura -30 do +55 °C</t>
  </si>
  <si>
    <t>- temperatura skladiščenja -40 do +85 °C</t>
  </si>
  <si>
    <t>- dimenzija 90 x 65 x 108 mm</t>
  </si>
  <si>
    <t>- teža 220 g</t>
  </si>
  <si>
    <t>- IP20 zaščita</t>
  </si>
  <si>
    <t>- Programska oprema EnerBus</t>
  </si>
  <si>
    <t>Programski paket EnerBus je namenjen centraliziranemu spremljanju števcev z M-Bus izhodom (toplotni števci, vodomeri, elektro števci, plinski števci, …), shranjevanju odčitanih podatkov v podatkovno bazo in nadaljnji obdelavi podatkov. Namenjen je podjetjem, katerih storitve zajemajo tudi centralizirano odčitavanje M-Bus števcev v večstanovanjskih objektih, poslovnih objektih in industrijskih objektih. Program je primeren tudi za uporabnike, ki lahko s pomočjo programa in ustrezne strojne opreme nadzirajo porabo toplote, vode, plina, …, v časovnem obdobju in s pomočjo rezultatov optimizirajo energetsko učinkovitost. Program med drugim nudi tudi pripravo obračunskih podatkov. Program je neposredno povezljiv s programom EnerDel in s tem omogoča uporabniku paketno rešitev odčitavanja števcev, izvedbe delitve in prenosa podatkov v obračunski program. Prav tako je mogoč izvoz podatkov (odčitkov) v uporabnikove že obstoječe programske aplikacije za delitev in/ali obračun stroškov. Izvozni format (odvisen od uporabnikove aplikacije</t>
  </si>
  <si>
    <t>- Spletni portal EnerWEB</t>
  </si>
  <si>
    <t>Spletna aplikacija EnerWEB je namenjena enostavnemu tabelaričnemu in grafičnemu prikazu podatkov uporabniku, kot so informacije delilnikov stroškov ogrevanja, informacije toplotnih / klima / kombi števcev, informacije vodomerov. EnerWEB je povezljiv z vsemi Enerkon sistemi (EnerBus, EnerDel, EnerPisT), uporabniku pa omogoča izvoze v lastne programe preko predefiniranih izvoznih datotek, kot npr.: podporne poslovne programe za obračun, planiranje, optimizacijo omrežja, napovedi</t>
  </si>
  <si>
    <t>- napajanje 240 V</t>
  </si>
  <si>
    <t>- priključna moč 3 W</t>
  </si>
  <si>
    <t>- Zagon sistema:</t>
  </si>
  <si>
    <t>- priklop vodomerov na opcijski konektor kalorimetra</t>
  </si>
  <si>
    <t>- priklop opcijskega konektorja M-BUS/4WZ na M-BUS omrežje</t>
  </si>
  <si>
    <t>- popis toplotnih števcev in vodomerov s popisom trenutnih stanj</t>
  </si>
  <si>
    <t>- vprogramiranje števila in stanj vodomerov v toplotni števec</t>
  </si>
  <si>
    <t>- montaža opcijskih kartic in plombiranje</t>
  </si>
  <si>
    <t xml:space="preserve">- montaža centralne enote </t>
  </si>
  <si>
    <t>ELVACO tip CmeX10 ali enakovredni</t>
  </si>
  <si>
    <t>Vzidna omarica iz RF pločevine skupaj s tacami za vzidavo, vratci</t>
  </si>
  <si>
    <t>300 x 300 x 150 mm</t>
  </si>
  <si>
    <t>Difuzijsko tesna večplastna cev (sestavljena iz: PE-RT - vezni sloj - vzdolžno prekrivno varjen aluminij - vezni sloj - PE-RT) za kletne razvode, dvižne vode in priključne razvode pri vodovodu. Požarna klasifikacija E v skladu z DIN 13501-1. Oba konca cevi opremljena z zaključno kapo (za higienično tesnjenje v skladu z DIN 806), skupaj s fazonskimi kosi ter držali (kolena, T-kosi, navojni priključki, prehodni kosi, držala za kotne in podometne ventile, zidne mešalne baterije..)</t>
  </si>
  <si>
    <t>Maksimalne trajne obratovalne temperature so med 0°C in 70°C pri maksimalnem trajnem obratovalnem tlaku 10 barov. Kratkotrajna temperatura, pri kateri bo prišlo do poškodb je 95°C (maksimalno 100 ur v obratovalni življenjski dobi).</t>
  </si>
  <si>
    <t xml:space="preserve">Cevi so predizolirane s s fleksibilnimi cevaki </t>
  </si>
  <si>
    <t xml:space="preserve">- koeficient toplotne prevodnosti 0,04 W/mK </t>
  </si>
  <si>
    <t>debelina izolacije 13 mm</t>
  </si>
  <si>
    <t>20 x 2,25</t>
  </si>
  <si>
    <t>25 x 2,5</t>
  </si>
  <si>
    <t>Cev iz nerjavečega materiala 1.4401 po DVGW W 534 (press sistem) skupaj z vsemi fitingi, tesnilnim, in pritrdilnim materialom ter dodatkom na odrez</t>
  </si>
  <si>
    <t>OPOMBA: obešala za vodoravno, poševno in navpično pritrjevanje cevi na gradbeno ali drugo vrsto konstrukcije sestavljene iz predfabriciranih obešal je iz pocinkanega železa in obsega objemke s podlogo iz sintetične gume odporne do 120 °C – dušenje zvoka, navojne palice s temeljno ploščo ali temeljnim profilom, kovinskih vložkov, vijakov z maticami, drsne in fiksne podpore. Vsa obešala se izvede po smernicah za montažo in preprečevanje prenosa hrupa na gradbeno konstrukcijo!</t>
  </si>
  <si>
    <t>VIEGA Sanpress Inox ali enakovredni</t>
  </si>
  <si>
    <t>Ø18 x 1</t>
  </si>
  <si>
    <t>Ø22 x 1,2</t>
  </si>
  <si>
    <t>Ø28 x 1,2</t>
  </si>
  <si>
    <t>Ø35 x 1,5</t>
  </si>
  <si>
    <t>Ø42 x 1,5</t>
  </si>
  <si>
    <t>Ø54 x 1,5</t>
  </si>
  <si>
    <t>Izolacija tople in hladne vode s fleksibilnimi cevaki za cevi položene vidno pod stropom ali v jašku. Elastična in odporna od -50°C do +105 °C.</t>
  </si>
  <si>
    <t>- koeficient odpora difuzije vodne pare μ ≥ 7.000 (EN 12086, EN 13469) za cevi 25 – 40 mm in plošče 32 – 40 mm - koeficient odpora difuzije vodne pare μ ≥ 10.000 (EN 12086, EN 13469) za cevi 6 – 19 mm in plošče 6 – 25 mm</t>
  </si>
  <si>
    <t>Armacell Armaflex XG ali enakovredni</t>
  </si>
  <si>
    <t>debelina 13 mm (hladna voda pod stropom)</t>
  </si>
  <si>
    <t>debelina 19 mm (topla voda pod stropom)</t>
  </si>
  <si>
    <t>debelina 25 mm (topla voda pod stropom)</t>
  </si>
  <si>
    <t>debelina 32 mm (topla voda pod stropom)</t>
  </si>
  <si>
    <t>debelina 40 mm (topla voda pod stropom)</t>
  </si>
  <si>
    <t>Horizontalni talni sifon DN50 s tesnilno prirobnico, sifonskim vložkom, stranskim dotokom DN40, odtokom DN 50 s krogličnim zglobom, skrajšljivim okvirnim nastavkom in nerjavečo jekleno rešetko 150x150mm. Vgradna zaščita je zajeta z dobavo</t>
  </si>
  <si>
    <t>pretočnost 1,6 l/s</t>
  </si>
  <si>
    <t>ACO Easyflow ali enakovredni</t>
  </si>
  <si>
    <t>Vgradni sifon za pralni stroj DN40/50 z integriranim priključkom za vodo (rozete, dotok/odtok R1/2" notranji navoj) in iztočno pipo R1/2" z varovalom povratnega toka in odzračevalnikom, skrajšljivim ohišjem, montažno ploščo s priključnim kolenom za stroj 3/4" HL19.C in nerjavečo jekleno krovno ploščo 100x180mm, najmanjša vgradna globina: 75 mm.</t>
  </si>
  <si>
    <t>HL 406 ali enakovredni</t>
  </si>
  <si>
    <t>Črpalna postaja za prečrpavanje z dvema potopnima črpalkama, skupaj z zaščito proti suhemu teku, z nivojsko sondo z 10 m priključnega kabla, protipovratnim ventilom (2x), Y – kosom, montažno peto (2x), zapornim ventilom (2x), izvlečno verigo iz nerjavečega materiala po EN 1.4401, elektro regulacijsko omarico WILO Draincontrol 2 (0,5 do 10 A) z možnostjo priključitve na CNS, z možnostjo javljanja napake na centralo ali mobilni telefon za delovanje dveh črpalk z vsem montažnim materialom</t>
  </si>
  <si>
    <t>WILO TP 50 F 90/7,5 3~</t>
  </si>
  <si>
    <t>Q = 3 l/s</t>
  </si>
  <si>
    <t>H = 5 m</t>
  </si>
  <si>
    <t>Ne = 2 x 1,1 kW</t>
  </si>
  <si>
    <t>U = 400 V</t>
  </si>
  <si>
    <t>PP tlačna cev, skupaj s tesnili, fazonskimi kosi in ostalim montažnim materialom</t>
  </si>
  <si>
    <t>Odtočne cevi SML – Ductil dolžine 3 m po ISO 6594 oziroma DIN 19522 (nodularna litina), skupaj s fazonskimi kosi, z vijačnimi tesnilnimi spojkami za izvedbo kanalizacije pod stropom ali v jašku, obešali, vključno ves montažni material</t>
  </si>
  <si>
    <t>Ø70</t>
  </si>
  <si>
    <t>Ø100</t>
  </si>
  <si>
    <t>Ø125</t>
  </si>
  <si>
    <t>Ø150</t>
  </si>
  <si>
    <t>PP odtočna cev skupaj z gumi tesnili in vsemi ostalimi fazonskimi kosi</t>
  </si>
  <si>
    <t>Valsir tip PP ali enakovredni</t>
  </si>
  <si>
    <t>Ø32</t>
  </si>
  <si>
    <t>Ø50</t>
  </si>
  <si>
    <t>Ø110</t>
  </si>
  <si>
    <t xml:space="preserve">Izdelava požarno odpornih prebojev na prehodih cevi skozi meje požarnih celic in sektorjev po SZPV 408 </t>
  </si>
  <si>
    <t>dolžina oboda cevi do 0,5 m (Ø15 -Ø125)</t>
  </si>
  <si>
    <t>Vrtanje lukenj, izdelava različnih utorov in druga gradbena dela za nemoteno izvedbo instalacije vodovoda</t>
  </si>
  <si>
    <t>PRIPRAVA TOPLE SANITARNE VODE</t>
  </si>
  <si>
    <t xml:space="preserve">Bojler za centralno pripravo tople sanitarne vode v vertikalni izvedbi z možnostjo vgradnje dodatnega prenosnika toplote ali električnega grelnika na prirobnico ter z možnostjo vgradnje dodatnega električnega grelnika na mufo 6/4". Bojler je zaščiten proti koroziji po DIN 4753-3 z integrirano magnezijevo anodo. Bojler je toplotno izoliran s trdo PU izolacijo 50 mm. </t>
  </si>
  <si>
    <t>- grelni register DN 40 – dovod in povratek</t>
  </si>
  <si>
    <t>Priključki:</t>
  </si>
  <si>
    <t>- 2 x DN 40 – topla in hladna voda (PN 10)</t>
  </si>
  <si>
    <t>- DN 20 – cirkulacija PN 10</t>
  </si>
  <si>
    <t>– 3 x potopna tuljka notranji premer DN 15 za potopno tipalo,varnostni termostat ali tetmometer,skupaj s potopnim temperaturnim tipalom</t>
  </si>
  <si>
    <t>- električni grelec s termostatom, varnostnim termostatom ter kontaktorsko omarico (prigraditev na prirobnico),</t>
  </si>
  <si>
    <t>P = 6,0 kW</t>
  </si>
  <si>
    <t>U = 400 V / 3ph. / 50 Hz</t>
  </si>
  <si>
    <t>BOSCH tip AS 1000 DUO ali enakovredni</t>
  </si>
  <si>
    <t>V= 1000 l</t>
  </si>
  <si>
    <t>Razteznostna posoda za sanitarno vodo po DIN 4807 T5, za preizkusni tlak 10 bar obratovalni tlak 8 bar, skupaj T-kosom ter flow-jet ventilom, vključno ves tesnilni in montažni material</t>
  </si>
  <si>
    <t>Reflex DT80 ali enakovredni</t>
  </si>
  <si>
    <t>Vcel = 80 l</t>
  </si>
  <si>
    <t>Filter po DIN 1988 s povratnim pranjem z navojnimi priključki skupaj z manometroma pred in za filtrnim vložkom v sklopu filtra, filtrnim vložkom 100 μm, ročnim vklopom povratnega pranja, skupaj z vijačnim in tesnilnim ter montažnim materialom</t>
  </si>
  <si>
    <t>GRÜNBECK tip MXA  ali enakovredni</t>
  </si>
  <si>
    <t>DN 40 PN 10</t>
  </si>
  <si>
    <t>GRÜNBECK tip EXADOS ES 12 DN 25  ali enakovredni</t>
  </si>
  <si>
    <t>P= 20 W</t>
  </si>
  <si>
    <t>Visoko učinkovita cirkulacijska črpalka za sanitarno vodo z navojnima priključkoma energijski razred A, serijsko s toplotno izolacijo, avtomatsko reducirano obratovanje, po izbiri nastavitev želene vrednosti ali števila vrtljajev s pomočjo "rdečega gumba", po izbiri variabilno ali konstantno krmiljenje tlačne razlike, skupno sporočilo o motnji kot brezpotencialni kontakt, krmilni vhod, eksterno izklop, krmilni vhod 0-10V, skupaj s tesnilnim in vijačnim materialom</t>
  </si>
  <si>
    <t>Wilo Stratos Eco – Z 25/1-5  ali enakovredni</t>
  </si>
  <si>
    <t xml:space="preserve">P= 59 W, U= 230 V </t>
  </si>
  <si>
    <t>Vodomer z impulznim izhodom, opremljen z impulznim izhodom na vodomeru z izhodom za daljinski prikaz, skupaj s tesnilnim in vijačnim materialom</t>
  </si>
  <si>
    <t>Z vodomerom se dobavi zbiralnik impulzov IS-WZ za priključitev največ dveh vodomerov pripravljenih za daljinsko prikazovanje</t>
  </si>
  <si>
    <t>HYDROMETER   ali enakovredni</t>
  </si>
  <si>
    <t>Poševnosedežni ventil za hidravlično uravnovešanje z navojnim priključkom PN 20 namenjen za delovno temperaturo od –20°C do 120°C. Ventil ima proporcionalno karakteristiko dušenja, merne priključke za instrument za nastavljanje pretoka, ročno nastavitveno kolo z numerično skalo, funkcijo zapornega elementa. Postavka vključuje nastavitev pretoka s pomočjo merilnega instrumenta in izdelavo zapisnika o doseženih pretokih,</t>
  </si>
  <si>
    <t>DANFOSS MSV-BD  ali enakovredni</t>
  </si>
  <si>
    <t>DN 25</t>
  </si>
  <si>
    <t>Vzmetni varnostni ventil z navojnima priključkoma, skupaj s tesnilnim materialom</t>
  </si>
  <si>
    <t>MS navojna krogelna pipa z ročko za posluževanje, skupaj s tesnilnim materialom</t>
  </si>
  <si>
    <t>KOVINA tip KV 60..  ali enakovredni</t>
  </si>
  <si>
    <t>DN 40</t>
  </si>
  <si>
    <t>MS krogelna pipa za praznjenje z navojnima priključkoma, z zaporno kapo, tesnilom in verižico, vijačnim spojem za gibko cev, skupaj s tesnilnim in vijačnim materialom</t>
  </si>
  <si>
    <t>KOVINA tip KP 51  ali enakovredni</t>
  </si>
  <si>
    <t>MS protipovratni ventil z navojnimi priključki, skupaj s tesnilnim in vijačnim materialom.</t>
  </si>
  <si>
    <t>KOVINA tip VP 64  ali enakovredni</t>
  </si>
  <si>
    <t>Manometer v okroglem ohišju z merilnim območjem do 10 bar z navojnim priključkom DN 15, manometrsko navojno pipico DN 15, komplet z montažnim in tesnilnim materialom</t>
  </si>
  <si>
    <t>CALEFFI tip 557  ali enakovredni</t>
  </si>
  <si>
    <t>Termometer v okroglem ohišju, z navojnim priključkom R 1/2" ter merilnim območjem do 40°C komplet z montažnim in tesnilnim materialom</t>
  </si>
  <si>
    <t>CALEFFI tip 688  ali enakovredni</t>
  </si>
  <si>
    <t>Termometer v okroglem ohišju, z navojnim priključkom R 1/2" ter merilnim območjem do 120°C komplet z montažnim in tesnilnim materialom</t>
  </si>
  <si>
    <t>ZUNANJI RAZVOD</t>
  </si>
  <si>
    <t>Plinska omarica iz RF pločevine za glavno plinsko požarno pipo, skupaj z montažnim in pritrdilnim materialom</t>
  </si>
  <si>
    <t>dimenzije 350 x700x 250</t>
  </si>
  <si>
    <t>Krogelna pipa z navojnima priključkoma, tlačne stopnje NP 16, standardne dolžine, atestirana za zemeljski plin, z ročko za posluževanje, vključno ves tesnilni in pritrdilni materialom.</t>
  </si>
  <si>
    <t>Cev iz nerjavečega materiala 1.4401 za plinsko inštalacijo po DVGW G 600 za dimenzije od DN 15 do DN 100, po SIST EN 10088 – nerjavna jekla ter DVGW GW 541. (press sistem) skupaj z vsemi fitingi in tesnilnim materialom VIEGA Sanpress Inox G ali enakovredni</t>
  </si>
  <si>
    <t>Jeklena brezšivna srednje težka cev po SIST EN 10255 iz materiala po SIST EN 10216-1 skupaj z loki, prehodnimi kosi, reducirnimi kosi, T-kosi, montažo in varilnim tesnilnim materialom in pritrdilnim in obešalnim materialom ustrezno zaščitena proti vlagi</t>
  </si>
  <si>
    <t>Ø33,7 x 3,25</t>
  </si>
  <si>
    <t>Zaščita vidnih obstoječih cevi v času gradnje ter popravilo poškodb na cevi ter ponovno pleskanje z rumeno barvo po predhodnem čiščenju in pleskanju s temeljno barvo (dolžina cevovoda cca 5m DN 50)</t>
  </si>
  <si>
    <t>Vezava na obstoječo plinsko inštalacijo za obstoječo glavno plinsko zaporno pipo ter povezava na obstoječo notranjo plinsko inštalacijo za objekt Hladilniška 32</t>
  </si>
  <si>
    <t xml:space="preserve">Izpihovanje obstoječe plinske inštalacije ter ponovno spuščanje plina v cevovod in tlačni preizkus, odzračevanje, poskusni zagon, ureguliranje vseh elementov s strani upravljavca javnega plinovodnega omrežja, izdaja atestov </t>
  </si>
  <si>
    <t>Vrtanje, dolbenje, izdelava utorov ter ostala gradbena dela povezana z izdelavo plinske inštalacije</t>
  </si>
  <si>
    <t>NOTRANJA PLINSKA INŠTALACIJA</t>
  </si>
  <si>
    <t>G 4 DN 20</t>
  </si>
  <si>
    <t>Števčni regulator tlaka plina (100 mbar / 23 mbar) z navojnimi priključki, skupaj s tesnilnim in vijačnim materialom</t>
  </si>
  <si>
    <t>ZR DN 20</t>
  </si>
  <si>
    <t>Zaporni element s termičnim varovalom, tlačne stopnje PN 16, standardne dolžine, atestiran za zemeljski plin, z ročko za posluževanje, skupaj s tesnilnim materialom</t>
  </si>
  <si>
    <t>DN 15 (dobavljen v sklopu kotla - samo montaža).</t>
  </si>
  <si>
    <t>Prehodni kos za prehod plinske cevi skozi steno izdelan po detajlu</t>
  </si>
  <si>
    <t>za cev</t>
  </si>
  <si>
    <t>DN 25 (DN 40)</t>
  </si>
  <si>
    <t>Priključitev plinskih trošil</t>
  </si>
  <si>
    <t>Tlačni preizkus omrežja s strani distributerja plina, spuščanje plina v napeljavo, odzračevanje, izdaja atestov, poskusni zagon, ureguliranje vseh elementov</t>
  </si>
  <si>
    <t>PREZRAČEVANJE</t>
  </si>
  <si>
    <t>Aksialni ventilator v lastnem ohišju za prezračevanje kopalnic in sanitarij za montažo na steno, termičnim varovalom proti preobremenitvi, modulom za zakasnitev izklopa, skupaj s pritrdilnim in montažnim materialom</t>
  </si>
  <si>
    <t>H = 13 Pa</t>
  </si>
  <si>
    <t>P = 10 W</t>
  </si>
  <si>
    <t>U = 230 V / 50 Hz</t>
  </si>
  <si>
    <t>O.ERRE tip CROMO 10/4'' ali enakovredni</t>
  </si>
  <si>
    <t>Tehnični podatki:</t>
  </si>
  <si>
    <t>P= 8,9 W</t>
  </si>
  <si>
    <t>U= 230V/50Hz/1f</t>
  </si>
  <si>
    <t>Lp= 18-28 dB(A)</t>
  </si>
  <si>
    <t>O.ERRE Tempero ECO 150 CERAM ali enakovredni</t>
  </si>
  <si>
    <t>Regulacija za neposredno upravljanje prezračevalnih naprav, z displejem skupaj z:</t>
  </si>
  <si>
    <t>- Zaslonom</t>
  </si>
  <si>
    <t>- alarmom za zamenjavo filtra</t>
  </si>
  <si>
    <t>- izbiro hitrosti ventilatorja</t>
  </si>
  <si>
    <t>- integriranim senzorjem za vlažnost/temperaturni senzor</t>
  </si>
  <si>
    <t>- komfort funkcijo, kot so nočno znižanje in poleti prezračevanje</t>
  </si>
  <si>
    <t>- funkcijo za preprečevanje vlage</t>
  </si>
  <si>
    <t>-montaža na steno</t>
  </si>
  <si>
    <t>vključno s podometno dozo za horizontalno montažo</t>
  </si>
  <si>
    <t>O.ERRE ACTIVE ali enakovredni</t>
  </si>
  <si>
    <t>Kanalski ventilator za odvod zraka, skupaj s pritrdilnim in montažnim materialom, z ožičenjem ter servisnim stikalom s časovno nastavitvijo ter nadtlačno žaluzijo</t>
  </si>
  <si>
    <t>P = 31 W</t>
  </si>
  <si>
    <t>U = 230 V/50 Hz</t>
  </si>
  <si>
    <t>Systemair tip K 100 M Sileo ali enakovredni</t>
  </si>
  <si>
    <t>Okrogli medprostorski dušilnik zvoka, sestavljen iz zunanjega plašča iz pocinkane pločevine, polnila iz mineralne volne, zaščitenega proti odnašanju s
celulozno folijo, ter notranjega plašča iz perforirane pocinkane pločevine;</t>
  </si>
  <si>
    <t>- notranji premer: d = 100 mm</t>
  </si>
  <si>
    <t>- dolžina: L = 900 mm</t>
  </si>
  <si>
    <t>Systemair LDC 100-900 ali enakovredni</t>
  </si>
  <si>
    <t>Krožnikasti prezračevalni ventil za odvod zraka  skupaj z montažnim in pritrdilnim materialom;</t>
  </si>
  <si>
    <t>Systemair tip BALANCE E ali enakovredni</t>
  </si>
  <si>
    <t>velikost 100</t>
  </si>
  <si>
    <t>Aluminijasta rešetka z okvirjem in protiokvirjem, 
prirejena za montažo v vrata, skupaj s pritrdilnim materialom;</t>
  </si>
  <si>
    <t>Systemair, d.o.o. tip NOVA-D-UR</t>
  </si>
  <si>
    <t>425x125</t>
  </si>
  <si>
    <t>Fiksna zaščitna aluminijasta zračna rešetka, skupaj z zaščitno mrežo in montažnim materialom, prirejena za montažo na zid, skupaj z okvirjem;</t>
  </si>
  <si>
    <t>Systemair, d.o.o. tip PZ AL</t>
  </si>
  <si>
    <t>200 × 200</t>
  </si>
  <si>
    <t>Nadtlačna rešetka z aluminijastim nosilnim okvirjem in nihajnimi lamelami iz aluminijastih profilov. Uležajene so v plastičnoh pušah, odpornih do temperature 80°C in so na spodnji strani obločene s tesnilnim trakom za zmanjševanje šumnosti.</t>
  </si>
  <si>
    <t>Hidria, tip ANŽ-3</t>
  </si>
  <si>
    <t>200x150</t>
  </si>
  <si>
    <t>Zračni kanali pravokotnega in okroglega preseka,
izdelani iz pocinkane pločevine po standardih SIST EN 1505 ter SIST EN 1506, spojeni s prirobničnimi spoji, kompletno z loputami, fazonskimi in oblikovnimi kosi, pritrdilnim in montažnim materialom ter dodatkom na odrez. Standardno
so vsi kanali in fazonski kosi izdelani z pritrjenim prirobničnim profilom na vsakem koncu kanala oziroma fazonskega kosa. Podporne razdalje kanalov in pripadajočih delov ne smejo nikoli preseči 2400mm pri katerikoli dimenziji kanala. Prav tako ne sme biti pri montaži izveden več kot en kanalski spoj med dvema podporama. Podpora mora biti oddaljena od prirobničnega spoja maksimalno 500 mm. Sistem izdelave kanalov mora ustrezati tesnostnem razredu C in tlačnemu razredu 2 po standardu SIST EN 1507:2006.</t>
  </si>
  <si>
    <t>V kanalski razvod morajo biti nameščene revizijske odprtine z zrakotesnimi pokrovi (Upoštevati standard SIST ENV 12097 (03.97)).</t>
  </si>
  <si>
    <t>V ponudbi zajeti tudi obešala za vodoravno, poševno in navpično pritrditev kanalov na gradbeno ali drugo vrsto konstrukcije. Izvedba predfabriciranih obešal je iz pocinkanega jekla in obsega objemke s podlogo iz sintetične gume, navojne palice s temeljno ploščo ali temeljnim profilom, kovinske vložke, vijake z maticami, drsne in fiksne podpore. Vsa obešala se izvede po smernicah za montažo in preprečevanje prenosa hrupa na gradbeno konstrukcijo.</t>
  </si>
  <si>
    <t>Okrogla požarna loputa za ločitev požarnih sektorjev
v prezračevalnih in klimatskih sistemih, odporna na
ogenj in hladen dim, požarne odpornosti EI60S, EI90S ali EI120S, testirana po EN 1366-2, klasificirana po EN 13501-3 in certificirana po EN 15650.</t>
  </si>
  <si>
    <t>Konstrukcijske značilnosti: požarna loputa vsebuje uležajeno lamelo iz kalcijevega silikata, intumescentno požarno tesnilo in termoelektrični prožilni mehanizem s temperaturo proženja 72°C. Ohišje iz pocinkane pločevine je toplotno ločeno z okvirjem iz kalcijevega silikata. Silikonski tesnilni profil med ohišjem in lamelo omogoča tudi tesnjenje za hladen dim. Vgradnja po navodilih proizvajalca v trdno in lahko steno minimalne debeline 100 mm ali trdno stropno ploščo minimalne debeline 150 mm. Loputa ima testni prožilni gumb. Položaj lamele lopute se lahko odčita na mehanskem prikazovalniku.</t>
  </si>
  <si>
    <t>Systemair, d.o.o. tip PK-I-C-EI120S-DV-1 ali enakovredni</t>
  </si>
  <si>
    <t>vel. 150</t>
  </si>
  <si>
    <t>Izolacija vseh kanalov, ki niso izolirani pri prehodu skozi gradbeno konstrukcijo z zaradi preprečevanja prenosa hrupa in vibracij ter izolacija na podstrešju s ploščami iz sintetičnega kavčuka ter kanalov na podstrešju. Učinek zvočne izolativnosti 30 dB(A)  po DIN EN ISO 3822, težko gorljiva in samougasljiva, ki ne kaplja in širi ognja – vrste B1 (po DIN 4102, 1. del (05.98)), s toplotno prevodnostjo λ &lt; 0,033 W/mK pri 0 °C (po DIN EN 12667), primerna za temperaturno območje -50 do + 85 °C;</t>
  </si>
  <si>
    <t>Armacell AF Armaflex ali enakovredni</t>
  </si>
  <si>
    <t>debelina 19 mm</t>
  </si>
  <si>
    <t xml:space="preserve">Meritve in nastavitve količin zraka na posameznem končnem elementu s strani pooblaščenega podjetja ter pridobitev zapisnika o opravljenih meritvah in količinah. Če meritve niso ustrezne, je izvajalec dolžan izvesti potrebne nastavitve, dokler meritve ne izkazujejo ustreznih količin. </t>
  </si>
  <si>
    <t xml:space="preserve">Meritve mikroklime za letno in zimsko obratovanje ter izdaja potrdila o izpolnjevanju projektnih zahtev s strani pooblaščene organizacije. </t>
  </si>
  <si>
    <t>Vrtanje lukenj, izdelava različnih utorov in druga gradbena dela za nemoteno izvedbo prezračevanja</t>
  </si>
  <si>
    <t>Skupaj ( I+II+III ) =</t>
  </si>
  <si>
    <t>Stranišče iz sanitarne keramike, sestoječe se iz WC školjke z zadnjim iztokom, konzolne izvedbe, skupaj z masivno sedežno desko za invalide, držali za invalide, kompletno z montažnim in tesnilnim materialom</t>
  </si>
  <si>
    <t>Kompleten umivalnik bele barve z odprtino za mešalno baterijo ø 35, odprtino za odtočno garnituro ø45, pritrdilnimi vijaki, enoročno stoječo mešalno armaturo, skupaj z dvema armiranima cevema R 3/8" ø10 x 400 mm, kotnima regulirnima ventiloma DN15, odtočnim ventilom s čepom na poteg in pokromanim odtočnim S sifonom, kompletno z montažnim in tesnilnim materialom</t>
  </si>
  <si>
    <t>Kompleten umivalnik bele barve skupaj s stenskima pritrdilnima vijakoma, enoročno stoječo mešalno baterijo skupaj z dvema armiranima cevema R 3/8" ø 10 x 400 mm, kotnima regulirnima ventiloma DN15, fleksibilno odtočno cevjo s podometnim odtočnim sifonom, kompletno z montažnim in tesnilnim materialom</t>
  </si>
  <si>
    <t>(dobava in montaža)</t>
  </si>
  <si>
    <t>Dobava in polaganje PVC cevi fi 125mm v predhodno izkopan kanal</t>
  </si>
  <si>
    <t>ELEKTRO MONTAŽNA DELA</t>
  </si>
  <si>
    <t>Dobava in uvlačenje kabla v kabelsko kanalizacijo in polaganje na predhodno položene kabelske police NA2XY-J 4x150+1,5mm2</t>
  </si>
  <si>
    <r>
      <t>Dobava in montaža kabelskih čevljev AlCu 150mm</t>
    </r>
    <r>
      <rPr>
        <vertAlign val="superscript"/>
        <sz val="10"/>
        <rFont val="Arial"/>
        <family val="2"/>
      </rPr>
      <t>2</t>
    </r>
  </si>
  <si>
    <t>Priključno merilna omarica KPMO v skladu z zahtevami pristojne elektro službe, komplet z vgrajeno opremo:</t>
  </si>
  <si>
    <t>Uvod kablov v priključno omaro, komplet s kabelskimi končniki in priklopom</t>
  </si>
  <si>
    <t>Dobava in polaganje pocinkanega valjanca FeZn 25×4mm</t>
  </si>
  <si>
    <t>Dobava in montaža ozemljitvene sponke</t>
  </si>
  <si>
    <t>Izvedba meritev in izdelava poročila</t>
  </si>
  <si>
    <t>OSTALI STROŠKI</t>
  </si>
  <si>
    <t>Zakoličba komunalnih vodov</t>
  </si>
  <si>
    <t>Prevozi</t>
  </si>
  <si>
    <t>Nadzor (gradbeni, elektro) s strani elektrodistribucijskega podjetja, v primeru da priključka ne bo izvajalo distributivno podjetje.</t>
  </si>
  <si>
    <t>Izdelava dokumentacije, vris kablov v kataster upravljalca (pristojnega distributivnega podjetja)</t>
  </si>
  <si>
    <t>Radijska objava o odklopih na el. omrežju</t>
  </si>
  <si>
    <t>Zavarovanje, transport in manipulativni stroški</t>
  </si>
  <si>
    <t>C.1.</t>
  </si>
  <si>
    <t>NN PRIKLJUČEK:</t>
  </si>
  <si>
    <t>Skupaj ( A+B+C+C.1+D+E) =</t>
  </si>
  <si>
    <t>V./</t>
  </si>
  <si>
    <t>ENERGETSKA IZKAZNICA</t>
  </si>
  <si>
    <t>VI./</t>
  </si>
  <si>
    <t>ZAPISNIK O UGOTOVITVI VREDNOSTI STANOVANJA - 23 KOM</t>
  </si>
  <si>
    <t>Skupaj ( IV+V+VI ) =</t>
  </si>
  <si>
    <t>Skupaj netto (I+II+III+IV+V+VI )</t>
  </si>
  <si>
    <t>DDV 9,5% (I+II+III)</t>
  </si>
  <si>
    <t>DDV 22% (IV+V+VI)</t>
  </si>
  <si>
    <t>Kabelska   kanalizacija IV. KTG ročni izkop. Izkop do 0,9m globine in 0.6m širine. Planiranje dna kanala. Dobava in prevoz tampona. Ročni zasip kanala. Utrjevanje materiala, ročno nakladanje materiala. Prevoz odpadnega materiala na deponijo.</t>
  </si>
  <si>
    <r>
      <t>Dobava in montaža kabelskega toploskrčljivega seta za izdelavo kabelskega končnika Tyco Raychem EPKT-0047-ZM, za kabel 70-150mm</t>
    </r>
    <r>
      <rPr>
        <vertAlign val="superscript"/>
        <sz val="10"/>
        <rFont val="Arial"/>
        <family val="2"/>
      </rPr>
      <t>2</t>
    </r>
    <r>
      <rPr>
        <sz val="10"/>
        <rFont val="Arial"/>
        <family val="2"/>
      </rPr>
      <t xml:space="preserve"> (zunanja montaža)</t>
    </r>
  </si>
  <si>
    <t>2 x (2000 x 1000 x 400mm) 
2 x (2000 x 400 x 400mm) 
montiran na hodniku v kleti objekta</t>
  </si>
  <si>
    <t>podstavek AS/KS 1000/100 SP/ZAKPL</t>
  </si>
  <si>
    <t>podstavek AS/KS 400/100 SP/ZAKPL</t>
  </si>
  <si>
    <t>stranska stena 2000x400 R5</t>
  </si>
  <si>
    <t xml:space="preserve">notranji montažni pribor </t>
  </si>
  <si>
    <t>predal za načrte</t>
  </si>
  <si>
    <t>adapter polcilinder preg. Kljuka</t>
  </si>
  <si>
    <t>števčna plošča</t>
  </si>
  <si>
    <t>steklo za omarico</t>
  </si>
  <si>
    <t>nosilec zbir.60MM 3P zun pritr.</t>
  </si>
  <si>
    <t>prekritje zbiralk pred neposrednim dotikom</t>
  </si>
  <si>
    <t>Varovalčni odklopnik NV400/3p, komplet s talilnimi vložki 160A, REITER ali enakovredno</t>
  </si>
  <si>
    <t>Varovalčni odklopnik NV160/3p, komplet s talilnimi vložki 100A, REITER ali enakovredno</t>
  </si>
  <si>
    <t>varovalčno stikalo D2 REITER SEK.</t>
  </si>
  <si>
    <t>vložek talilnni 35A-D02</t>
  </si>
  <si>
    <t>vložek talilnni 25A-D02</t>
  </si>
  <si>
    <t>Prenapetostni odvodnik protekt B2 50/320 12</t>
  </si>
  <si>
    <t xml:space="preserve">podporni izolator </t>
  </si>
  <si>
    <t>Bakrena zbiralka 3,5m 30x10 ravni rob</t>
  </si>
  <si>
    <t>Elektronski direktni enofazni dvosmerni števec delovne energije s PLC komunikacijskim modulom ZCXI120CPU1L1D1 1x230V, 
5-85A, PLC ali po zahtevah DEES</t>
  </si>
  <si>
    <t>Elektronski direktni trifazni dvosmerni števec delovne energije s PLC komunikacijskim modulom ZMXI320CPU1L1D3 3x230/400V, 
5-85A, PLC ali po zahtevah DEES</t>
  </si>
  <si>
    <t>Demontaža obstoječega rezervnega števca, rezervne merilne garniture, rezervnih tokovnikov in rezervnega varovalčnega podnožja NV1 (250A) v obstoječi PS omarici</t>
  </si>
  <si>
    <t>Varovalčno podnožje NV 2 (400A) z varovalkami 3x160A</t>
  </si>
  <si>
    <t>Montaža novega varovalčnega podnožja NV 2 v obstoječo PS omarico na mesto obstoječega odstranjenega varovalčnega podnožja, za priključitev dovodnega kabla za napajanje Hladilniške 34</t>
  </si>
  <si>
    <t>Trezor za shranjevanje ključa, za dostop Elektro Ljubljana do nove KPMO v kleti objekta</t>
  </si>
  <si>
    <t>REKAPITULACIJA ELEKTRIČNIH INSTALACIJ NN PRIKLJUČEK</t>
  </si>
  <si>
    <t>REKAPITULACIJA STROJNIH INŠTALACIJ</t>
  </si>
  <si>
    <r>
      <t>Q</t>
    </r>
    <r>
      <rPr>
        <vertAlign val="subscript"/>
        <sz val="10"/>
        <color indexed="8"/>
        <rFont val="Arial"/>
        <family val="2"/>
      </rPr>
      <t>80/60°C</t>
    </r>
    <r>
      <rPr>
        <sz val="10"/>
        <color indexed="8"/>
        <rFont val="Arial"/>
        <family val="2"/>
      </rPr>
      <t xml:space="preserve"> = 42,5 kW</t>
    </r>
  </si>
  <si>
    <r>
      <t>Q</t>
    </r>
    <r>
      <rPr>
        <vertAlign val="subscript"/>
        <sz val="10"/>
        <color indexed="8"/>
        <rFont val="Arial"/>
        <family val="2"/>
      </rPr>
      <t>50/30°C</t>
    </r>
    <r>
      <rPr>
        <sz val="10"/>
        <color indexed="8"/>
        <rFont val="Arial"/>
        <family val="2"/>
      </rPr>
      <t xml:space="preserve"> = 44,9 kW</t>
    </r>
  </si>
  <si>
    <r>
      <t>P</t>
    </r>
    <r>
      <rPr>
        <sz val="10"/>
        <color indexed="8"/>
        <rFont val="Arial"/>
        <family val="2"/>
      </rPr>
      <t>= 76 W</t>
    </r>
  </si>
  <si>
    <r>
      <t>V</t>
    </r>
    <r>
      <rPr>
        <vertAlign val="subscript"/>
        <sz val="10"/>
        <color indexed="8"/>
        <rFont val="Arial"/>
        <family val="2"/>
      </rPr>
      <t>max</t>
    </r>
    <r>
      <rPr>
        <sz val="10"/>
        <color indexed="8"/>
        <rFont val="Arial"/>
        <family val="2"/>
      </rPr>
      <t>=5,0 m</t>
    </r>
    <r>
      <rPr>
        <vertAlign val="superscript"/>
        <sz val="10"/>
        <color indexed="8"/>
        <rFont val="Arial"/>
        <family val="2"/>
      </rPr>
      <t>3</t>
    </r>
    <r>
      <rPr>
        <sz val="10"/>
        <color indexed="8"/>
        <rFont val="Arial"/>
        <family val="2"/>
      </rPr>
      <t>/h</t>
    </r>
  </si>
  <si>
    <r>
      <t>Cev iz neplemenitega jekla, material 1.0308 (E235) po EN 10305-3 (</t>
    </r>
    <r>
      <rPr>
        <sz val="10"/>
        <color indexed="8"/>
        <rFont val="Arial"/>
        <family val="2"/>
      </rPr>
      <t>PRESS sistem) skupaj z vsemi fitingi za zatiskanje (kolena, T-kosi, navojni priključki, prehodni kosi), tesnili (FPM rdeči) in pritrdilnim materialom</t>
    </r>
  </si>
  <si>
    <r>
      <t xml:space="preserve">OPOMBA: obešala za vodoravno, poševno in navpično pritrjevanje cevi na gradbeno ali drugo vrsto konstrukcije sestavljene iz predfabriciranih obešal je iz pocinkanega železa in obsega objemke s podlogo iz sintetične </t>
    </r>
    <r>
      <rPr>
        <sz val="10"/>
        <color indexed="8"/>
        <rFont val="Arial"/>
        <family val="2"/>
      </rPr>
      <t>gume odporne do 120 °C – dušenje zvoka, navojne palice s temeljno ploščo ali temeljnim profilom, kovinskih vložkov, vijakov z maticami, drsne in fiksne podpore. Vsa obešala se izvede po smernicah za montažo in preprečevanje prenosa hrupa na gradbeno konstrukcijo!</t>
    </r>
  </si>
  <si>
    <r>
      <t xml:space="preserve">Jeklen panelni radiator s spodnjimi sredinskimi priključki, vgrajenim termostatskim ventilom, spodnjim </t>
    </r>
    <r>
      <rPr>
        <sz val="10"/>
        <color indexed="8"/>
        <rFont val="Arial"/>
        <family val="2"/>
      </rPr>
      <t>kotnim priključnim kosom za dvocevni sistem z regulacijo količine, s priključki za večplastne cevi (Pexal) cevi, izdelan za delovni tlak PN6 in temperaturo do 110°C skupaj s pokrovom, radiatorskimi čepi, reducirkami, odzračnikom, konzolami za montažo na steno, konzolo za montažo priključnega kosa, tesnilnim in pritrdilnim materialom</t>
    </r>
  </si>
  <si>
    <r>
      <t>Termostatska glava z možnostjo blokiranja in omejevanja temperature, skladno z EN 215-1 z vgrajenim tipalom, s protizmrzovalno zaščito, opremljena z zaskočnim priključkom primeren za montažo na termostatski ventil. Območje delovanja od 0 do 26</t>
    </r>
    <r>
      <rPr>
        <sz val="10"/>
        <color indexed="8"/>
        <rFont val="Arial"/>
        <family val="2"/>
      </rPr>
      <t>°C.</t>
    </r>
  </si>
  <si>
    <r>
      <t xml:space="preserve">Termostatska glava za radiatore v skupnih prostorih, možnostjo </t>
    </r>
    <r>
      <rPr>
        <sz val="10"/>
        <color indexed="8"/>
        <rFont val="Arial"/>
        <family val="2"/>
      </rPr>
      <t>blokiranja (omejevalnik hoda glave) in omejevanja temperature, s plinskim polnenjem, skladno z EN 215-1 z vgrajenim tipalom, s protizmrzovalno zaščito, primeren za montažo na termostatski ventil. Montaža z imbus ključem 2mm. Območje delovanja od 5 do 26°C.</t>
    </r>
  </si>
  <si>
    <r>
      <t>Kompleten  razdel</t>
    </r>
    <r>
      <rPr>
        <sz val="10"/>
        <rFont val="Arial"/>
        <family val="2"/>
      </rPr>
      <t xml:space="preserve">ilec za radiatorsko </t>
    </r>
    <r>
      <rPr>
        <sz val="10"/>
        <color indexed="8"/>
        <rFont val="Arial"/>
        <family val="2"/>
      </rPr>
      <t>ogrevanje iz nerjavečega jekla - INOX 1.4301, z ločenim dovodom in povratkom z vgrajenimi naslednjimi elementi:</t>
    </r>
  </si>
  <si>
    <r>
      <t>Ultrazvočni toplotni števec (kalorimeter) za merjenje porabe toplote ali hladu</t>
    </r>
    <r>
      <rPr>
        <b/>
        <sz val="10"/>
        <rFont val="Arial"/>
        <family val="2"/>
      </rPr>
      <t xml:space="preserve"> </t>
    </r>
    <r>
      <rPr>
        <sz val="10"/>
        <rFont val="Arial"/>
        <family val="2"/>
      </rPr>
      <t>s sistemom merilnega vložka, ki je sestavljen iz:</t>
    </r>
  </si>
  <si>
    <r>
      <t>m</t>
    </r>
    <r>
      <rPr>
        <vertAlign val="superscript"/>
        <sz val="10"/>
        <color indexed="8"/>
        <rFont val="Arial"/>
        <family val="2"/>
      </rPr>
      <t>2</t>
    </r>
  </si>
  <si>
    <r>
      <t>m</t>
    </r>
    <r>
      <rPr>
        <vertAlign val="superscript"/>
        <sz val="10"/>
        <color indexed="8"/>
        <rFont val="Arial"/>
        <family val="2"/>
      </rPr>
      <t>3</t>
    </r>
  </si>
  <si>
    <r>
      <t>(cca. 0,3m</t>
    </r>
    <r>
      <rPr>
        <vertAlign val="superscript"/>
        <sz val="10"/>
        <color indexed="8"/>
        <rFont val="Arial"/>
        <family val="2"/>
      </rPr>
      <t>3</t>
    </r>
    <r>
      <rPr>
        <sz val="10"/>
        <color indexed="8"/>
        <rFont val="Arial"/>
        <family val="2"/>
      </rPr>
      <t>/kos)</t>
    </r>
  </si>
  <si>
    <r>
      <t>- izmenljivim merilnim vložkom AMES 3-K/W+m (impulzni izhod) (Q</t>
    </r>
    <r>
      <rPr>
        <vertAlign val="subscript"/>
        <sz val="10"/>
        <color indexed="8"/>
        <rFont val="Arial"/>
        <family val="2"/>
      </rPr>
      <t>n</t>
    </r>
    <r>
      <rPr>
        <sz val="10"/>
        <color indexed="8"/>
        <rFont val="Arial"/>
        <family val="2"/>
      </rPr>
      <t>=1,5m</t>
    </r>
    <r>
      <rPr>
        <vertAlign val="superscript"/>
        <sz val="10"/>
        <color indexed="8"/>
        <rFont val="Arial"/>
        <family val="2"/>
      </rPr>
      <t>3</t>
    </r>
    <r>
      <rPr>
        <sz val="10"/>
        <color indexed="8"/>
        <rFont val="Arial"/>
        <family val="2"/>
      </rPr>
      <t>/h)</t>
    </r>
  </si>
  <si>
    <r>
      <t>Izmenljivi merilni vložek za hladno ali toplo vodo (impulzni izhod) (Q</t>
    </r>
    <r>
      <rPr>
        <vertAlign val="subscript"/>
        <sz val="10"/>
        <color indexed="8"/>
        <rFont val="Arial"/>
        <family val="2"/>
      </rPr>
      <t>n</t>
    </r>
    <r>
      <rPr>
        <sz val="10"/>
        <color indexed="8"/>
        <rFont val="Arial"/>
        <family val="2"/>
      </rPr>
      <t>=1,5m</t>
    </r>
    <r>
      <rPr>
        <vertAlign val="superscript"/>
        <sz val="10"/>
        <color indexed="8"/>
        <rFont val="Arial"/>
        <family val="2"/>
      </rPr>
      <t>3</t>
    </r>
    <r>
      <rPr>
        <sz val="10"/>
        <color indexed="8"/>
        <rFont val="Arial"/>
        <family val="2"/>
      </rPr>
      <t>/h) skupaj s tesnilnim materialom</t>
    </r>
  </si>
  <si>
    <r>
      <t>- koeficient toplotne prevodnosti λ</t>
    </r>
    <r>
      <rPr>
        <vertAlign val="subscript"/>
        <sz val="10"/>
        <color indexed="8"/>
        <rFont val="Arial"/>
        <family val="2"/>
      </rPr>
      <t>0ºC</t>
    </r>
    <r>
      <rPr>
        <sz val="10"/>
        <color indexed="8"/>
        <rFont val="Arial"/>
        <family val="2"/>
      </rPr>
      <t xml:space="preserve">  ≤ 0,036 W/mK (EN 8497)</t>
    </r>
  </si>
  <si>
    <r>
      <t xml:space="preserve">(max. 35 </t>
    </r>
    <r>
      <rPr>
        <sz val="10"/>
        <color indexed="8"/>
        <rFont val="Arial"/>
        <family val="2"/>
      </rPr>
      <t>°C)</t>
    </r>
  </si>
  <si>
    <r>
      <t>Ø</t>
    </r>
    <r>
      <rPr>
        <sz val="10"/>
        <color indexed="8"/>
        <rFont val="Arial"/>
        <family val="2"/>
      </rPr>
      <t>65; PN6</t>
    </r>
  </si>
  <si>
    <r>
      <t xml:space="preserve">A </t>
    </r>
    <r>
      <rPr>
        <vertAlign val="subscript"/>
        <sz val="10"/>
        <color indexed="8"/>
        <rFont val="Arial"/>
        <family val="2"/>
      </rPr>
      <t xml:space="preserve">izmenjevalec,spodnji </t>
    </r>
    <r>
      <rPr>
        <sz val="10"/>
        <color indexed="8"/>
        <rFont val="Arial"/>
        <family val="2"/>
      </rPr>
      <t xml:space="preserve"> = 3,45 m</t>
    </r>
    <r>
      <rPr>
        <vertAlign val="superscript"/>
        <sz val="10"/>
        <color indexed="8"/>
        <rFont val="Arial"/>
        <family val="2"/>
      </rPr>
      <t>2</t>
    </r>
  </si>
  <si>
    <r>
      <t xml:space="preserve">A </t>
    </r>
    <r>
      <rPr>
        <vertAlign val="subscript"/>
        <sz val="10"/>
        <color indexed="8"/>
        <rFont val="Arial"/>
        <family val="2"/>
      </rPr>
      <t>izmenjevalec,zgornji</t>
    </r>
    <r>
      <rPr>
        <sz val="10"/>
        <color indexed="8"/>
        <rFont val="Arial"/>
        <family val="2"/>
      </rPr>
      <t xml:space="preserve"> = 1,31 m</t>
    </r>
    <r>
      <rPr>
        <vertAlign val="superscript"/>
        <sz val="10"/>
        <color indexed="8"/>
        <rFont val="Arial"/>
        <family val="2"/>
      </rPr>
      <t>2</t>
    </r>
  </si>
  <si>
    <r>
      <t>Q</t>
    </r>
    <r>
      <rPr>
        <vertAlign val="subscript"/>
        <sz val="10"/>
        <color indexed="8"/>
        <rFont val="Arial"/>
        <family val="2"/>
      </rPr>
      <t>n</t>
    </r>
    <r>
      <rPr>
        <sz val="10"/>
        <color indexed="8"/>
        <rFont val="Arial"/>
        <family val="2"/>
      </rPr>
      <t xml:space="preserve"> = 22 m</t>
    </r>
    <r>
      <rPr>
        <vertAlign val="superscript"/>
        <sz val="10"/>
        <color indexed="8"/>
        <rFont val="Arial"/>
        <family val="2"/>
      </rPr>
      <t>3</t>
    </r>
    <r>
      <rPr>
        <sz val="10"/>
        <color indexed="8"/>
        <rFont val="Arial"/>
        <family val="2"/>
      </rPr>
      <t>/h (</t>
    </r>
    <r>
      <rPr>
        <sz val="10"/>
        <color indexed="8"/>
        <rFont val="Arial"/>
        <family val="2"/>
      </rPr>
      <t>Δp=0,2 bar)</t>
    </r>
  </si>
  <si>
    <r>
      <t>Elektronska sesalno tlačna dozirna črpalka po DIN 1988, skupaj z merilnikom pretoka za krmiljenje membranske črpalke z nazivnim priključnim premerom 1 ¼" s pretokom 10 m</t>
    </r>
    <r>
      <rPr>
        <vertAlign val="superscript"/>
        <sz val="10"/>
        <color indexed="8"/>
        <rFont val="Arial"/>
        <family val="2"/>
      </rPr>
      <t>3</t>
    </r>
    <r>
      <rPr>
        <sz val="10"/>
        <color indexed="8"/>
        <rFont val="Arial"/>
        <family val="2"/>
      </rPr>
      <t>/h pri Dp = 0,8 bara, dozirnim ventilom, sesalno garnituro z nivojskim stikalom, dozirno posodo 60 l z mineralno razstopino Exados zeleni (20 l kanister), skupaj s tesnilnim in montažnim materialom ter električnim napajanjem</t>
    </r>
  </si>
  <si>
    <r>
      <t>Qn = 0,03 – 10,0 m</t>
    </r>
    <r>
      <rPr>
        <vertAlign val="superscript"/>
        <sz val="10"/>
        <color indexed="8"/>
        <rFont val="Arial"/>
        <family val="2"/>
      </rPr>
      <t>3</t>
    </r>
    <r>
      <rPr>
        <sz val="10"/>
        <color indexed="8"/>
        <rFont val="Arial"/>
        <family val="2"/>
      </rPr>
      <t>/h</t>
    </r>
  </si>
  <si>
    <r>
      <t>DN 25, Qn =6,0 m</t>
    </r>
    <r>
      <rPr>
        <vertAlign val="superscript"/>
        <sz val="10"/>
        <rFont val="Arial"/>
        <family val="2"/>
      </rPr>
      <t>3</t>
    </r>
    <r>
      <rPr>
        <sz val="10"/>
        <rFont val="Arial"/>
        <family val="2"/>
      </rPr>
      <t>/h, PN16</t>
    </r>
  </si>
  <si>
    <r>
      <t>p</t>
    </r>
    <r>
      <rPr>
        <vertAlign val="subscript"/>
        <sz val="10"/>
        <color indexed="8"/>
        <rFont val="Arial"/>
        <family val="2"/>
      </rPr>
      <t>izp</t>
    </r>
    <r>
      <rPr>
        <sz val="10"/>
        <color indexed="8"/>
        <rFont val="Arial"/>
        <family val="2"/>
      </rPr>
      <t xml:space="preserve"> = 8 bar</t>
    </r>
  </si>
  <si>
    <r>
      <t>Mehovni plinomer s konektorjem z impulznim izhodom z navojnimi priključki s konzolo za pritrditev mehovnega plinomera skupaj s zaporno krogelno pipo pred plinomerom (konzola mora biti od istega proizvajalca kot cev iz nerjavečega materiala – press 22 x (4,0 Sm</t>
    </r>
    <r>
      <rPr>
        <vertAlign val="superscript"/>
        <sz val="10"/>
        <color indexed="8"/>
        <rFont val="Arial"/>
        <family val="2"/>
      </rPr>
      <t>3</t>
    </r>
    <r>
      <rPr>
        <sz val="10"/>
        <color indexed="8"/>
        <rFont val="Arial"/>
        <family val="2"/>
      </rPr>
      <t>/h) vključno s tesnili in vijaki ter montažnim materialom</t>
    </r>
  </si>
  <si>
    <r>
      <t>V = 60 m</t>
    </r>
    <r>
      <rPr>
        <vertAlign val="superscript"/>
        <sz val="10"/>
        <color indexed="8"/>
        <rFont val="Arial"/>
        <family val="2"/>
      </rPr>
      <t>3</t>
    </r>
    <r>
      <rPr>
        <sz val="10"/>
        <color indexed="8"/>
        <rFont val="Arial"/>
        <family val="2"/>
      </rPr>
      <t>/h</t>
    </r>
  </si>
  <si>
    <r>
      <t>Decentralna prezračevalna naprava za montažo na steno, sestavljena iz ohišja, keramičnega rekuperatorja z visokim izkoristkom do 90%, ventilatorja z varčnim motorjem z zvočno izolacijskim ovojem, maksimalnega pretoka 60 m</t>
    </r>
    <r>
      <rPr>
        <vertAlign val="superscript"/>
        <sz val="10"/>
        <color indexed="8"/>
        <rFont val="Arial"/>
        <family val="2"/>
      </rPr>
      <t>3</t>
    </r>
    <r>
      <rPr>
        <sz val="10"/>
        <color indexed="8"/>
        <rFont val="Arial"/>
        <family val="2"/>
      </rPr>
      <t xml:space="preserve">/h, z dvema pralnima filtroma razreda G3, zunanja rešetka z mrežo proti insektom </t>
    </r>
  </si>
  <si>
    <r>
      <t>h=</t>
    </r>
    <r>
      <rPr>
        <sz val="10"/>
        <color indexed="8"/>
        <rFont val="Arial"/>
        <family val="2"/>
      </rPr>
      <t xml:space="preserve"> 90 %</t>
    </r>
  </si>
  <si>
    <r>
      <t>- modul CO</t>
    </r>
    <r>
      <rPr>
        <vertAlign val="subscript"/>
        <sz val="11"/>
        <color indexed="8"/>
        <rFont val="Arial"/>
        <family val="2"/>
      </rPr>
      <t>2</t>
    </r>
    <r>
      <rPr>
        <sz val="11"/>
        <color indexed="8"/>
        <rFont val="Arial"/>
        <family val="2"/>
      </rPr>
      <t xml:space="preserve"> 5/SCO</t>
    </r>
  </si>
  <si>
    <r>
      <t>V</t>
    </r>
    <r>
      <rPr>
        <vertAlign val="subscript"/>
        <sz val="10"/>
        <color indexed="8"/>
        <rFont val="Arial"/>
        <family val="2"/>
      </rPr>
      <t>od</t>
    </r>
    <r>
      <rPr>
        <sz val="10"/>
        <color indexed="8"/>
        <rFont val="Arial"/>
        <family val="2"/>
      </rPr>
      <t xml:space="preserve"> = 60 m</t>
    </r>
    <r>
      <rPr>
        <vertAlign val="superscript"/>
        <sz val="10"/>
        <color indexed="8"/>
        <rFont val="Arial"/>
        <family val="2"/>
      </rPr>
      <t>3</t>
    </r>
    <r>
      <rPr>
        <sz val="10"/>
        <color indexed="8"/>
        <rFont val="Arial"/>
        <family val="2"/>
      </rPr>
      <t>/h</t>
    </r>
  </si>
  <si>
    <r>
      <t xml:space="preserve">Vrtanje lukenj za potrebe prezračevalnih naprav dimenzije </t>
    </r>
    <r>
      <rPr>
        <sz val="10"/>
        <color indexed="8"/>
        <rFont val="Arial"/>
        <family val="2"/>
      </rPr>
      <t>Ø16cm</t>
    </r>
  </si>
  <si>
    <t>a.0.37</t>
  </si>
  <si>
    <t>postelje - kompletno z jogijem</t>
  </si>
  <si>
    <t>mize</t>
  </si>
  <si>
    <t>stoli</t>
  </si>
  <si>
    <t>omare</t>
  </si>
  <si>
    <t>Odstranitev premične opreme, z iznosom na gradbiščno deponijo, sortiranje, nakladanje na transportna sredstva in odovoz v stalno deponijo oddaljeno do 15 km. Obračun na osnovi evidenčnih listov o predaji odpadnega materiala:</t>
  </si>
  <si>
    <t>Dobava in polaganje parketa - lamelni parket, d= 8 mm; lepljen na že pripravljene estrihe; vključno s predhodnim polaganjem izravnalne mase v debelini cca 2-3 mm. V ceni zajeti tudi nizkostenske obrobne letvice dim 3 x 3 cm; brušenje in trikratno lakiranje - v tonu po izboru arhitekta.</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</si>
</sst>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0.00\ _S_I_T"/>
    <numFmt numFmtId="174" formatCode="0.00;[Red]0.00"/>
    <numFmt numFmtId="175" formatCode="&quot;Yes&quot;;&quot;Yes&quot;;&quot;No&quot;"/>
    <numFmt numFmtId="176" formatCode="&quot;True&quot;;&quot;True&quot;;&quot;False&quot;"/>
    <numFmt numFmtId="177" formatCode="&quot;On&quot;;&quot;On&quot;;&quot;Off&quot;"/>
    <numFmt numFmtId="178" formatCode="[$€-2]\ #,##0.00_);[Red]\([$€-2]\ #,##0.00\)"/>
    <numFmt numFmtId="179" formatCode="0000"/>
    <numFmt numFmtId="180" formatCode=";;;"/>
    <numFmt numFmtId="181" formatCode="#,##0.00;[Red]#,##0.00"/>
    <numFmt numFmtId="182" formatCode="_-* #,##0.00\ [$€-1]_-;\-* #,##0.00\ [$€-1]_-;_-* &quot;-&quot;??\ [$€-1]_-;_-@_-"/>
    <numFmt numFmtId="183" formatCode="#,##0.00\ &quot;€&quot;"/>
    <numFmt numFmtId="184" formatCode="_-* #,##0\ _S_I_T_-;\-* #,##0\ _S_I_T_-;_-* &quot;-&quot;??\ _S_I_T_-;_-@_-"/>
    <numFmt numFmtId="185" formatCode="#,##0.00\ [$€-42D]"/>
    <numFmt numFmtId="186" formatCode="d/\ m/"/>
    <numFmt numFmtId="187" formatCode="#,##0\ &quot;€&quot;"/>
    <numFmt numFmtId="188" formatCode="[$-424]d\.\ mmmm\ yyyy"/>
    <numFmt numFmtId="189" formatCode="[$-1010409]0.##"/>
    <numFmt numFmtId="190" formatCode="0#"/>
    <numFmt numFmtId="191" formatCode="\1#,##0"/>
    <numFmt numFmtId="192" formatCode="0.0"/>
    <numFmt numFmtId="193" formatCode="#,##0.00\ [$€-1]"/>
    <numFmt numFmtId="194" formatCode="#,##0.00_ ;[Red]\-#,##0.00\ "/>
    <numFmt numFmtId="195" formatCode="0.##"/>
    <numFmt numFmtId="196" formatCode="0.#"/>
    <numFmt numFmtId="197" formatCode="0."/>
    <numFmt numFmtId="198" formatCode="0;[Red]0"/>
    <numFmt numFmtId="199" formatCode="0.000"/>
    <numFmt numFmtId="200" formatCode="#,##0.00_ ;\-#,##0.00\ "/>
    <numFmt numFmtId="201" formatCode="#,##0.00\ [$EUR]"/>
    <numFmt numFmtId="202" formatCode="0.0000"/>
    <numFmt numFmtId="203" formatCode="_-* #,##0.00\ _S_I_T_-;\-* #,##0.00\ _S_I_T_-;_-* \-??\ _S_I_T_-;_-@_-"/>
    <numFmt numFmtId="204" formatCode="_-* #,##0\ _S_I_T_-;\-* #,##0\ _S_I_T_-;_-* \-??\ _S_I_T_-;_-@_-"/>
    <numFmt numFmtId="205" formatCode="_-* #,##0\ _S_I_T_-;\-* #,##0\ _S_I_T_-;_-* &quot;- &quot;_S_I_T_-;_-@_-"/>
    <numFmt numFmtId="206" formatCode="0.0%"/>
    <numFmt numFmtId="207" formatCode="dd/mmm"/>
    <numFmt numFmtId="208" formatCode="#,##0.00\ _D_i_n_."/>
    <numFmt numFmtId="209" formatCode="#&quot;.&quot;"/>
  </numFmts>
  <fonts count="112">
    <font>
      <sz val="10"/>
      <name val="Arial"/>
      <family val="0"/>
    </font>
    <font>
      <sz val="8"/>
      <name val="Arial"/>
      <family val="2"/>
    </font>
    <font>
      <u val="single"/>
      <sz val="10"/>
      <color indexed="12"/>
      <name val="Arial"/>
      <family val="2"/>
    </font>
    <font>
      <u val="single"/>
      <sz val="10"/>
      <color indexed="36"/>
      <name val="Arial"/>
      <family val="2"/>
    </font>
    <font>
      <b/>
      <sz val="12"/>
      <color indexed="8"/>
      <name val="SSPalatino"/>
      <family val="0"/>
    </font>
    <font>
      <sz val="10"/>
      <name val="Arial CE"/>
      <family val="0"/>
    </font>
    <font>
      <sz val="11"/>
      <name val="Futura Prins"/>
      <family val="0"/>
    </font>
    <font>
      <sz val="9"/>
      <name val="Futura Prins"/>
      <family val="0"/>
    </font>
    <font>
      <sz val="12"/>
      <name val="Futura Prins"/>
      <family val="0"/>
    </font>
    <font>
      <b/>
      <sz val="14"/>
      <name val="Calibri"/>
      <family val="2"/>
    </font>
    <font>
      <b/>
      <sz val="16"/>
      <name val="Calibri"/>
      <family val="2"/>
    </font>
    <font>
      <sz val="9"/>
      <name val="Calibri"/>
      <family val="2"/>
    </font>
    <font>
      <b/>
      <sz val="10"/>
      <name val="Calibri"/>
      <family val="2"/>
    </font>
    <font>
      <sz val="8"/>
      <name val="Calibri"/>
      <family val="2"/>
    </font>
    <font>
      <b/>
      <sz val="8"/>
      <name val="Calibri"/>
      <family val="2"/>
    </font>
    <font>
      <b/>
      <u val="single"/>
      <sz val="8"/>
      <name val="Calibri"/>
      <family val="2"/>
    </font>
    <font>
      <b/>
      <sz val="14"/>
      <name val="Symbol"/>
      <family val="1"/>
    </font>
    <font>
      <sz val="10"/>
      <name val="SL Dutch"/>
      <family val="0"/>
    </font>
    <font>
      <vertAlign val="superscript"/>
      <sz val="8"/>
      <name val="Calibri"/>
      <family val="2"/>
    </font>
    <font>
      <sz val="11"/>
      <name val="Calibri"/>
      <family val="2"/>
    </font>
    <font>
      <b/>
      <sz val="12"/>
      <name val="Calibri"/>
      <family val="2"/>
    </font>
    <font>
      <b/>
      <sz val="11"/>
      <name val="Calibri"/>
      <family val="2"/>
    </font>
    <font>
      <sz val="10"/>
      <color indexed="8"/>
      <name val="Calibri"/>
      <family val="2"/>
    </font>
    <font>
      <vertAlign val="subscript"/>
      <sz val="10"/>
      <color indexed="8"/>
      <name val="Calibri"/>
      <family val="2"/>
    </font>
    <font>
      <u val="single"/>
      <sz val="11"/>
      <name val="Calibri"/>
      <family val="2"/>
    </font>
    <font>
      <b/>
      <u val="single"/>
      <sz val="12"/>
      <name val="Calibri"/>
      <family val="2"/>
    </font>
    <font>
      <sz val="11"/>
      <name val="Wingdings"/>
      <family val="0"/>
    </font>
    <font>
      <sz val="7"/>
      <name val="Times New Roman"/>
      <family val="1"/>
    </font>
    <font>
      <b/>
      <vertAlign val="superscript"/>
      <sz val="11"/>
      <name val="Calibri"/>
      <family val="2"/>
    </font>
    <font>
      <vertAlign val="superscript"/>
      <sz val="11"/>
      <name val="Calibri"/>
      <family val="2"/>
    </font>
    <font>
      <vertAlign val="subscript"/>
      <sz val="11"/>
      <name val="Calibri"/>
      <family val="2"/>
    </font>
    <font>
      <b/>
      <vertAlign val="subscript"/>
      <sz val="11"/>
      <name val="Calibri"/>
      <family val="2"/>
    </font>
    <font>
      <b/>
      <vertAlign val="superscript"/>
      <sz val="10"/>
      <name val="Calibri"/>
      <family val="2"/>
    </font>
    <font>
      <sz val="10.5"/>
      <name val="Courier New"/>
      <family val="3"/>
    </font>
    <font>
      <b/>
      <sz val="10"/>
      <name val="Courier New"/>
      <family val="3"/>
    </font>
    <font>
      <b/>
      <sz val="10.5"/>
      <name val="Courier New"/>
      <family val="3"/>
    </font>
    <font>
      <sz val="10"/>
      <name val="Calibri"/>
      <family val="2"/>
    </font>
    <font>
      <sz val="12"/>
      <name val="Calibri"/>
      <family val="2"/>
    </font>
    <font>
      <sz val="11"/>
      <color indexed="8"/>
      <name val="Calibri"/>
      <family val="2"/>
    </font>
    <font>
      <b/>
      <sz val="11"/>
      <color indexed="8"/>
      <name val="Calibri"/>
      <family val="2"/>
    </font>
    <font>
      <sz val="11"/>
      <name val="Arial"/>
      <family val="2"/>
    </font>
    <font>
      <sz val="10"/>
      <color indexed="8"/>
      <name val="Arial"/>
      <family val="2"/>
    </font>
    <font>
      <sz val="10"/>
      <name val="Times New Roman CE"/>
      <family val="0"/>
    </font>
    <font>
      <sz val="10"/>
      <name val="Times New Roman"/>
      <family val="1"/>
    </font>
    <font>
      <b/>
      <sz val="10"/>
      <name val="Arial"/>
      <family val="2"/>
    </font>
    <font>
      <sz val="12"/>
      <name val="Arial"/>
      <family val="2"/>
    </font>
    <font>
      <b/>
      <sz val="12"/>
      <name val="Arial"/>
      <family val="2"/>
    </font>
    <font>
      <b/>
      <sz val="10"/>
      <color indexed="8"/>
      <name val="Arial"/>
      <family val="2"/>
    </font>
    <font>
      <vertAlign val="superscript"/>
      <sz val="10"/>
      <name val="Arial"/>
      <family val="2"/>
    </font>
    <font>
      <vertAlign val="subscript"/>
      <sz val="10"/>
      <color indexed="8"/>
      <name val="Arial"/>
      <family val="2"/>
    </font>
    <font>
      <vertAlign val="superscript"/>
      <sz val="10"/>
      <color indexed="8"/>
      <name val="Arial"/>
      <family val="2"/>
    </font>
    <font>
      <b/>
      <sz val="10"/>
      <color indexed="10"/>
      <name val="Arial"/>
      <family val="2"/>
    </font>
    <font>
      <sz val="10"/>
      <color indexed="8"/>
      <name val="DIN Regular EU"/>
      <family val="0"/>
    </font>
    <font>
      <sz val="10"/>
      <color indexed="8"/>
      <name val="GreekS"/>
      <family val="0"/>
    </font>
    <font>
      <vertAlign val="subscript"/>
      <sz val="11"/>
      <color indexed="8"/>
      <name val="Arial"/>
      <family val="2"/>
    </font>
    <font>
      <sz val="11"/>
      <color indexed="8"/>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28"/>
      <name val="Calibri"/>
      <family val="2"/>
    </font>
    <font>
      <b/>
      <sz val="18"/>
      <name val="Calibri"/>
      <family val="2"/>
    </font>
    <font>
      <b/>
      <i/>
      <u val="single"/>
      <sz val="11"/>
      <name val="Calibri"/>
      <family val="2"/>
    </font>
    <font>
      <b/>
      <sz val="9"/>
      <name val="Calibri"/>
      <family val="2"/>
    </font>
    <font>
      <b/>
      <i/>
      <sz val="16"/>
      <name val="Calibri"/>
      <family val="2"/>
    </font>
    <font>
      <b/>
      <i/>
      <sz val="14"/>
      <name val="Calibri"/>
      <family val="2"/>
    </font>
    <font>
      <b/>
      <sz val="20"/>
      <name val="Calibri"/>
      <family val="2"/>
    </font>
    <font>
      <b/>
      <i/>
      <u val="single"/>
      <sz val="9"/>
      <name val="Calibri"/>
      <family val="2"/>
    </font>
    <font>
      <b/>
      <i/>
      <u val="single"/>
      <sz val="8"/>
      <name val="Calibri"/>
      <family val="2"/>
    </font>
    <font>
      <b/>
      <u val="single"/>
      <sz val="18"/>
      <name val="Calibri"/>
      <family val="2"/>
    </font>
    <font>
      <b/>
      <u val="single"/>
      <sz val="20"/>
      <name val="Calibri"/>
      <family val="2"/>
    </font>
    <font>
      <u val="single"/>
      <sz val="8"/>
      <name val="Calibri"/>
      <family val="2"/>
    </font>
    <font>
      <b/>
      <sz val="12"/>
      <color indexed="8"/>
      <name val="Calibri"/>
      <family val="2"/>
    </font>
    <font>
      <b/>
      <sz val="10"/>
      <color indexed="8"/>
      <name val="Calibri"/>
      <family val="2"/>
    </font>
    <font>
      <b/>
      <sz val="14"/>
      <color indexed="10"/>
      <name val="Calibri"/>
      <family val="2"/>
    </font>
    <font>
      <b/>
      <i/>
      <sz val="11"/>
      <color indexed="8"/>
      <name val="Calibri"/>
      <family val="2"/>
    </font>
    <font>
      <sz val="10"/>
      <color indexed="10"/>
      <name val="Calibri"/>
      <family val="2"/>
    </font>
    <font>
      <sz val="14"/>
      <name val="Calibri"/>
      <family val="2"/>
    </font>
    <font>
      <b/>
      <i/>
      <sz val="10"/>
      <name val="Calibri"/>
      <family val="2"/>
    </font>
    <font>
      <sz val="9"/>
      <color indexed="10"/>
      <name val="Calibri"/>
      <family val="2"/>
    </font>
    <font>
      <sz val="8"/>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Calibri"/>
      <family val="2"/>
    </font>
    <font>
      <sz val="9"/>
      <color rgb="FFFF0000"/>
      <name val="Calibri"/>
      <family val="2"/>
    </font>
    <font>
      <sz val="8"/>
      <color rgb="FFFF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2"/>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
      <patternFill patternType="solid">
        <fgColor rgb="FFCCFFFF"/>
        <bgColor indexed="64"/>
      </patternFill>
    </fill>
    <fill>
      <patternFill patternType="lightGray"/>
    </fill>
    <fill>
      <patternFill patternType="mediumGray"/>
    </fill>
    <fill>
      <patternFill patternType="darkGray"/>
    </fill>
    <fill>
      <patternFill patternType="solid">
        <fgColor theme="0" tint="-0.149959996342659"/>
        <bgColor indexed="64"/>
      </patternFill>
    </fill>
    <fill>
      <patternFill patternType="solid">
        <fgColor indexed="26"/>
        <bgColor indexed="64"/>
      </patternFill>
    </fill>
    <fill>
      <patternFill patternType="solid">
        <fgColor theme="0"/>
        <bgColor indexed="64"/>
      </patternFill>
    </fill>
    <fill>
      <patternFill patternType="solid">
        <fgColor indexed="42"/>
        <bgColor indexed="64"/>
      </patternFill>
    </fill>
    <fill>
      <patternFill patternType="solid">
        <fgColor indexed="10"/>
        <bgColor indexed="64"/>
      </patternFill>
    </fill>
    <fill>
      <patternFill patternType="solid">
        <fgColor theme="0" tint="-0.04997999966144562"/>
        <bgColor indexed="64"/>
      </patternFill>
    </fill>
    <fill>
      <patternFill patternType="solid">
        <fgColor theme="6" tint="0.5999600291252136"/>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indexed="43"/>
        <bgColor indexed="64"/>
      </patternFill>
    </fill>
  </fills>
  <borders count="61">
    <border>
      <left/>
      <right/>
      <top/>
      <bottom/>
      <diagonal/>
    </border>
    <border>
      <left style="hair"/>
      <right style="hair"/>
      <top style="hair"/>
      <bottom style="hair"/>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right style="double"/>
      <top style="double"/>
      <bottom style="double"/>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style="hair"/>
      <top>
        <color indexed="63"/>
      </top>
      <bottom style="hair"/>
    </border>
    <border>
      <left style="hair"/>
      <right style="hair"/>
      <top style="hair"/>
      <bottom style="thin"/>
    </border>
    <border>
      <left>
        <color indexed="63"/>
      </left>
      <right>
        <color indexed="63"/>
      </right>
      <top style="thin"/>
      <bottom style="thin"/>
    </border>
    <border>
      <left style="hair"/>
      <right>
        <color indexed="63"/>
      </right>
      <top>
        <color indexed="63"/>
      </top>
      <bottom style="hair"/>
    </border>
    <border>
      <left style="hair"/>
      <right>
        <color indexed="63"/>
      </right>
      <top style="hair"/>
      <bottom>
        <color indexed="63"/>
      </bottom>
    </border>
    <border>
      <left style="hair"/>
      <right style="hair"/>
      <top>
        <color indexed="63"/>
      </top>
      <bottom style="hair"/>
    </border>
    <border>
      <left style="hair"/>
      <right>
        <color indexed="63"/>
      </right>
      <top style="hair"/>
      <bottom style="hair"/>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thin"/>
    </border>
    <border>
      <left style="hair"/>
      <right style="hair"/>
      <top style="hair"/>
      <bottom>
        <color indexed="63"/>
      </bottom>
    </border>
    <border>
      <left/>
      <right/>
      <top style="thin"/>
      <bottom/>
    </border>
    <border>
      <left style="hair"/>
      <right style="hair"/>
      <top style="thin"/>
      <bottom style="hair"/>
    </border>
    <border>
      <left style="hair"/>
      <right style="hair"/>
      <top style="thin"/>
      <bottom style="thin"/>
    </border>
    <border>
      <left style="double"/>
      <right style="double"/>
      <top style="double"/>
      <bottom style="thin"/>
    </border>
    <border>
      <left style="double"/>
      <right style="double"/>
      <top>
        <color indexed="63"/>
      </top>
      <bottom>
        <color indexed="63"/>
      </bottom>
    </border>
    <border>
      <left style="double"/>
      <right style="double"/>
      <top style="hair"/>
      <bottom style="hair"/>
    </border>
    <border>
      <left style="double"/>
      <right style="double"/>
      <top style="thin"/>
      <bottom style="thin"/>
    </border>
    <border>
      <left style="hair"/>
      <right style="hair"/>
      <top style="double"/>
      <bottom style="double"/>
    </border>
    <border>
      <left style="medium"/>
      <right style="medium"/>
      <top style="medium"/>
      <bottom style="thin"/>
    </border>
    <border>
      <left style="medium"/>
      <right style="medium"/>
      <top style="thin"/>
      <bottom style="hair"/>
    </border>
    <border>
      <left style="medium"/>
      <right style="medium"/>
      <top style="hair"/>
      <bottom style="hair"/>
    </border>
    <border>
      <left style="medium"/>
      <right style="medium"/>
      <top style="thin"/>
      <bottom style="thin"/>
    </border>
    <border>
      <left style="medium"/>
      <right style="medium"/>
      <top style="double"/>
      <bottom style="medium"/>
    </border>
    <border>
      <left>
        <color indexed="63"/>
      </left>
      <right style="thin"/>
      <top style="thin"/>
      <bottom style="thin"/>
    </border>
    <border>
      <left style="hair"/>
      <right>
        <color indexed="63"/>
      </right>
      <top style="hair"/>
      <bottom style="thin"/>
    </border>
    <border>
      <left style="hair"/>
      <right/>
      <top style="thin"/>
      <bottom style="thin"/>
    </border>
    <border>
      <left>
        <color indexed="63"/>
      </left>
      <right style="hair"/>
      <top style="hair"/>
      <bottom style="hair"/>
    </border>
    <border>
      <left>
        <color indexed="63"/>
      </left>
      <right style="hair"/>
      <top style="hair"/>
      <bottom style="thin"/>
    </border>
    <border>
      <left/>
      <right style="hair"/>
      <top style="hair"/>
      <bottom/>
    </border>
    <border>
      <left style="hair"/>
      <right style="hair"/>
      <top style="thin"/>
      <bottom/>
    </border>
    <border>
      <left style="hair"/>
      <right>
        <color indexed="63"/>
      </right>
      <top>
        <color indexed="63"/>
      </top>
      <bottom>
        <color indexed="63"/>
      </bottom>
    </border>
    <border>
      <left style="hair"/>
      <right style="hair"/>
      <top/>
      <bottom/>
    </border>
    <border>
      <left>
        <color indexed="63"/>
      </left>
      <right style="hair"/>
      <top>
        <color indexed="63"/>
      </top>
      <bottom>
        <color indexed="63"/>
      </bottom>
    </border>
    <border>
      <left style="thin"/>
      <right style="thin"/>
      <top style="thin"/>
      <bottom style="thin"/>
    </border>
    <border>
      <left style="hair"/>
      <right style="hair"/>
      <top style="medium"/>
      <bottom style="medium"/>
    </border>
    <border>
      <left>
        <color indexed="63"/>
      </left>
      <right>
        <color indexed="63"/>
      </right>
      <top>
        <color indexed="63"/>
      </top>
      <bottom style="double"/>
    </border>
    <border>
      <left style="medium"/>
      <right style="medium"/>
      <top>
        <color indexed="63"/>
      </top>
      <bottom>
        <color indexed="63"/>
      </bottom>
    </border>
    <border>
      <left style="double"/>
      <right style="double"/>
      <top>
        <color indexed="63"/>
      </top>
      <bottom style="hair"/>
    </border>
    <border>
      <left style="thin"/>
      <right>
        <color indexed="63"/>
      </right>
      <top style="thin"/>
      <bottom style="thin"/>
    </border>
    <border>
      <left style="thin"/>
      <right>
        <color indexed="63"/>
      </right>
      <top style="thin"/>
      <bottom>
        <color indexed="63"/>
      </bottom>
    </border>
    <border>
      <left>
        <color indexed="63"/>
      </left>
      <right>
        <color indexed="63"/>
      </right>
      <top style="medium"/>
      <bottom style="medium"/>
    </border>
    <border>
      <left>
        <color indexed="63"/>
      </left>
      <right style="medium"/>
      <top style="hair"/>
      <bottom style="hair"/>
    </border>
    <border>
      <left>
        <color indexed="63"/>
      </left>
      <right style="hair"/>
      <top style="thin"/>
      <bottom style="thin"/>
    </border>
    <border>
      <left>
        <color indexed="63"/>
      </left>
      <right>
        <color indexed="63"/>
      </right>
      <top style="double"/>
      <bottom>
        <color indexed="63"/>
      </bottom>
    </border>
    <border>
      <left style="hair"/>
      <right>
        <color indexed="63"/>
      </right>
      <top style="double"/>
      <bottom style="double"/>
    </border>
    <border>
      <left style="hair"/>
      <right>
        <color indexed="63"/>
      </right>
      <top style="thin"/>
      <bottom style="hair"/>
    </border>
    <border>
      <left style="hair"/>
      <right style="medium"/>
      <top style="hair"/>
      <bottom style="hair"/>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4" fillId="20" borderId="0" applyNumberFormat="0" applyBorder="0" applyAlignment="0" applyProtection="0"/>
    <xf numFmtId="0" fontId="7" fillId="0" borderId="1" applyAlignment="0">
      <protection/>
    </xf>
    <xf numFmtId="0" fontId="7" fillId="0" borderId="1" applyAlignment="0">
      <protection/>
    </xf>
    <xf numFmtId="0" fontId="7" fillId="0" borderId="1" applyAlignment="0">
      <protection/>
    </xf>
    <xf numFmtId="0" fontId="7" fillId="0" borderId="1">
      <alignment vertical="top" wrapText="1"/>
      <protection/>
    </xf>
    <xf numFmtId="0" fontId="2" fillId="0" borderId="0" applyNumberFormat="0" applyFill="0" applyBorder="0" applyAlignment="0" applyProtection="0"/>
    <xf numFmtId="0" fontId="95" fillId="21" borderId="2" applyNumberFormat="0" applyAlignment="0" applyProtection="0"/>
    <xf numFmtId="0" fontId="96" fillId="0" borderId="0" applyNumberFormat="0" applyFill="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4" fillId="0" borderId="0">
      <alignment/>
      <protection/>
    </xf>
    <xf numFmtId="0" fontId="41"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92" fillId="0" borderId="0">
      <alignment/>
      <protection/>
    </xf>
    <xf numFmtId="0" fontId="0" fillId="0" borderId="0">
      <alignment/>
      <protection/>
    </xf>
    <xf numFmtId="0" fontId="8" fillId="0" borderId="0">
      <alignment/>
      <protection/>
    </xf>
    <xf numFmtId="0" fontId="0" fillId="0" borderId="0">
      <alignment/>
      <protection/>
    </xf>
    <xf numFmtId="0" fontId="5" fillId="0" borderId="0">
      <alignment/>
      <protection/>
    </xf>
    <xf numFmtId="0" fontId="0" fillId="0" borderId="0">
      <alignment/>
      <protection/>
    </xf>
    <xf numFmtId="0" fontId="92" fillId="0" borderId="0">
      <alignment/>
      <protection/>
    </xf>
    <xf numFmtId="0" fontId="5" fillId="0" borderId="0">
      <alignment/>
      <protection/>
    </xf>
    <xf numFmtId="0" fontId="5" fillId="0" borderId="0">
      <alignment/>
      <protection/>
    </xf>
    <xf numFmtId="0" fontId="43" fillId="0" borderId="0">
      <alignment/>
      <protection/>
    </xf>
    <xf numFmtId="0" fontId="17"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100" fillId="22"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4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3" borderId="6" applyNumberFormat="0" applyFont="0" applyAlignment="0" applyProtection="0"/>
    <xf numFmtId="0" fontId="101" fillId="0" borderId="0" applyNumberFormat="0" applyFill="0" applyBorder="0" applyAlignment="0" applyProtection="0"/>
    <xf numFmtId="9" fontId="0" fillId="0" borderId="0" applyFont="0" applyFill="0" applyBorder="0" applyAlignment="0" applyProtection="0"/>
    <xf numFmtId="0" fontId="102" fillId="0" borderId="0" applyNumberFormat="0" applyFill="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3" fillId="26" borderId="0" applyNumberFormat="0" applyBorder="0" applyAlignment="0" applyProtection="0"/>
    <xf numFmtId="0" fontId="93" fillId="27" borderId="0" applyNumberFormat="0" applyBorder="0" applyAlignment="0" applyProtection="0"/>
    <xf numFmtId="0" fontId="93" fillId="28" borderId="0" applyNumberFormat="0" applyBorder="0" applyAlignment="0" applyProtection="0"/>
    <xf numFmtId="0" fontId="93" fillId="29" borderId="0" applyNumberFormat="0" applyBorder="0" applyAlignment="0" applyProtection="0"/>
    <xf numFmtId="0" fontId="103" fillId="0" borderId="7" applyNumberFormat="0" applyFill="0" applyAlignment="0" applyProtection="0"/>
    <xf numFmtId="0" fontId="104" fillId="30" borderId="8" applyNumberFormat="0" applyAlignment="0" applyProtection="0"/>
    <xf numFmtId="49" fontId="6" fillId="31" borderId="9">
      <alignment horizontal="center" vertical="top" wrapText="1"/>
      <protection/>
    </xf>
    <xf numFmtId="0" fontId="105" fillId="21" borderId="10" applyNumberFormat="0" applyAlignment="0" applyProtection="0"/>
    <xf numFmtId="0" fontId="106" fillId="32" borderId="0" applyNumberFormat="0" applyBorder="0" applyAlignment="0" applyProtection="0"/>
    <xf numFmtId="0" fontId="40" fillId="0" borderId="0">
      <alignment/>
      <protection/>
    </xf>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7" fillId="33" borderId="10" applyNumberFormat="0" applyAlignment="0" applyProtection="0"/>
    <xf numFmtId="0" fontId="108" fillId="0" borderId="11" applyNumberFormat="0" applyFill="0" applyAlignment="0" applyProtection="0"/>
  </cellStyleXfs>
  <cellXfs count="1156">
    <xf numFmtId="0" fontId="0" fillId="0" borderId="0" xfId="0" applyAlignment="1">
      <alignment/>
    </xf>
    <xf numFmtId="0" fontId="19" fillId="0" borderId="1" xfId="0" applyFont="1" applyBorder="1" applyAlignment="1">
      <alignment vertical="top" wrapText="1"/>
    </xf>
    <xf numFmtId="4" fontId="11" fillId="0" borderId="12" xfId="0" applyNumberFormat="1" applyFont="1" applyBorder="1" applyAlignment="1">
      <alignment horizontal="right" wrapText="1"/>
    </xf>
    <xf numFmtId="4" fontId="19" fillId="0" borderId="13" xfId="0" applyNumberFormat="1" applyFont="1" applyBorder="1" applyAlignment="1">
      <alignment horizontal="justify" vertical="top" wrapText="1"/>
    </xf>
    <xf numFmtId="4" fontId="12" fillId="31" borderId="14" xfId="0" applyNumberFormat="1" applyFont="1" applyFill="1" applyBorder="1" applyAlignment="1">
      <alignment horizontal="right" wrapText="1"/>
    </xf>
    <xf numFmtId="4" fontId="36" fillId="31" borderId="14" xfId="0" applyNumberFormat="1" applyFont="1" applyFill="1" applyBorder="1" applyAlignment="1">
      <alignment horizontal="right" wrapText="1"/>
    </xf>
    <xf numFmtId="4" fontId="20" fillId="31" borderId="14" xfId="0" applyNumberFormat="1" applyFont="1" applyFill="1" applyBorder="1" applyAlignment="1">
      <alignment horizontal="justify" vertical="top" wrapText="1"/>
    </xf>
    <xf numFmtId="4" fontId="36" fillId="0" borderId="15" xfId="0" applyNumberFormat="1" applyFont="1" applyBorder="1" applyAlignment="1">
      <alignment horizontal="right" wrapText="1"/>
    </xf>
    <xf numFmtId="4" fontId="36" fillId="34" borderId="16" xfId="0" applyNumberFormat="1" applyFont="1" applyFill="1" applyBorder="1" applyAlignment="1">
      <alignment horizontal="right" wrapText="1"/>
    </xf>
    <xf numFmtId="4" fontId="21" fillId="0" borderId="0" xfId="0" applyNumberFormat="1" applyFont="1" applyBorder="1" applyAlignment="1">
      <alignment vertical="top"/>
    </xf>
    <xf numFmtId="4" fontId="19" fillId="0" borderId="0" xfId="0" applyNumberFormat="1" applyFont="1" applyBorder="1" applyAlignment="1">
      <alignment vertical="top"/>
    </xf>
    <xf numFmtId="4" fontId="21" fillId="0" borderId="0" xfId="0" applyNumberFormat="1" applyFont="1" applyBorder="1" applyAlignment="1">
      <alignment horizontal="right" vertical="top"/>
    </xf>
    <xf numFmtId="4" fontId="21" fillId="0" borderId="0" xfId="0" applyNumberFormat="1" applyFont="1" applyBorder="1" applyAlignment="1">
      <alignment horizontal="center"/>
    </xf>
    <xf numFmtId="4" fontId="21" fillId="0" borderId="0" xfId="0" applyNumberFormat="1" applyFont="1" applyBorder="1" applyAlignment="1">
      <alignment/>
    </xf>
    <xf numFmtId="4" fontId="19" fillId="0" borderId="0" xfId="0" applyNumberFormat="1" applyFont="1" applyBorder="1" applyAlignment="1">
      <alignment horizontal="right"/>
    </xf>
    <xf numFmtId="4" fontId="19" fillId="0" borderId="0" xfId="0" applyNumberFormat="1" applyFont="1" applyBorder="1" applyAlignment="1">
      <alignment/>
    </xf>
    <xf numFmtId="4" fontId="21" fillId="0" borderId="0" xfId="0" applyNumberFormat="1" applyFont="1" applyFill="1" applyBorder="1" applyAlignment="1">
      <alignment vertical="center"/>
    </xf>
    <xf numFmtId="4" fontId="71" fillId="0" borderId="0" xfId="0" applyNumberFormat="1" applyFont="1" applyFill="1" applyBorder="1" applyAlignment="1">
      <alignment horizontal="center" vertical="center"/>
    </xf>
    <xf numFmtId="4" fontId="19" fillId="0" borderId="0" xfId="0" applyNumberFormat="1" applyFont="1" applyFill="1" applyBorder="1" applyAlignment="1">
      <alignment vertical="center"/>
    </xf>
    <xf numFmtId="4" fontId="19" fillId="0" borderId="0" xfId="0" applyNumberFormat="1" applyFont="1" applyBorder="1" applyAlignment="1">
      <alignment vertical="center"/>
    </xf>
    <xf numFmtId="4" fontId="21" fillId="0" borderId="0" xfId="0" applyNumberFormat="1" applyFont="1" applyFill="1" applyBorder="1" applyAlignment="1">
      <alignment vertical="top"/>
    </xf>
    <xf numFmtId="4" fontId="72" fillId="0" borderId="0" xfId="0" applyNumberFormat="1" applyFont="1" applyFill="1" applyBorder="1" applyAlignment="1">
      <alignment horizontal="center" vertical="top"/>
    </xf>
    <xf numFmtId="4" fontId="19" fillId="0" borderId="0" xfId="0" applyNumberFormat="1" applyFont="1" applyFill="1" applyBorder="1" applyAlignment="1">
      <alignment vertical="top"/>
    </xf>
    <xf numFmtId="4" fontId="21" fillId="0" borderId="0" xfId="0" applyNumberFormat="1" applyFont="1" applyBorder="1" applyAlignment="1">
      <alignment horizontal="right" vertical="top" wrapText="1"/>
    </xf>
    <xf numFmtId="4" fontId="20" fillId="0" borderId="0" xfId="0" applyNumberFormat="1" applyFont="1" applyBorder="1" applyAlignment="1">
      <alignment horizontal="center" vertical="top" wrapText="1"/>
    </xf>
    <xf numFmtId="4" fontId="21" fillId="0" borderId="0" xfId="0" applyNumberFormat="1" applyFont="1" applyBorder="1" applyAlignment="1">
      <alignment horizontal="center" wrapText="1"/>
    </xf>
    <xf numFmtId="4" fontId="21" fillId="0" borderId="0" xfId="0" applyNumberFormat="1" applyFont="1" applyBorder="1" applyAlignment="1">
      <alignment wrapText="1"/>
    </xf>
    <xf numFmtId="4" fontId="19" fillId="0" borderId="0" xfId="0" applyNumberFormat="1" applyFont="1" applyBorder="1" applyAlignment="1">
      <alignment horizontal="right" wrapText="1"/>
    </xf>
    <xf numFmtId="4" fontId="19" fillId="0" borderId="0" xfId="0" applyNumberFormat="1" applyFont="1" applyBorder="1" applyAlignment="1">
      <alignment horizontal="justify" wrapText="1"/>
    </xf>
    <xf numFmtId="4" fontId="21" fillId="0" borderId="0" xfId="0" applyNumberFormat="1" applyFont="1" applyFill="1" applyBorder="1" applyAlignment="1">
      <alignment horizontal="right" vertical="top" wrapText="1"/>
    </xf>
    <xf numFmtId="17" fontId="19" fillId="0" borderId="0" xfId="0" applyNumberFormat="1" applyFont="1" applyBorder="1" applyAlignment="1">
      <alignment horizontal="justify" vertical="top" wrapText="1"/>
    </xf>
    <xf numFmtId="4" fontId="21" fillId="0" borderId="0" xfId="0" applyNumberFormat="1" applyFont="1" applyFill="1" applyBorder="1" applyAlignment="1">
      <alignment horizontal="center" wrapText="1"/>
    </xf>
    <xf numFmtId="4" fontId="21" fillId="0" borderId="0" xfId="0" applyNumberFormat="1" applyFont="1" applyFill="1" applyBorder="1" applyAlignment="1">
      <alignment wrapText="1"/>
    </xf>
    <xf numFmtId="4" fontId="21" fillId="0" borderId="0" xfId="0" applyNumberFormat="1" applyFont="1" applyFill="1" applyBorder="1" applyAlignment="1">
      <alignment horizontal="right" wrapText="1"/>
    </xf>
    <xf numFmtId="4" fontId="19" fillId="0" borderId="0" xfId="0" applyNumberFormat="1" applyFont="1" applyFill="1" applyBorder="1" applyAlignment="1">
      <alignment horizontal="justify" wrapText="1"/>
    </xf>
    <xf numFmtId="4" fontId="19" fillId="0" borderId="0" xfId="0" applyNumberFormat="1" applyFont="1" applyBorder="1" applyAlignment="1">
      <alignment horizontal="justify" vertical="top" wrapText="1"/>
    </xf>
    <xf numFmtId="4" fontId="73" fillId="0" borderId="17" xfId="0" applyNumberFormat="1" applyFont="1" applyBorder="1" applyAlignment="1">
      <alignment horizontal="justify" vertical="top" wrapText="1"/>
    </xf>
    <xf numFmtId="4" fontId="13" fillId="0" borderId="18" xfId="0" applyNumberFormat="1" applyFont="1" applyBorder="1" applyAlignment="1">
      <alignment horizontal="justify" vertical="top" wrapText="1"/>
    </xf>
    <xf numFmtId="4" fontId="13" fillId="0" borderId="1" xfId="0" applyNumberFormat="1" applyFont="1" applyFill="1" applyBorder="1" applyAlignment="1">
      <alignment horizontal="justify" vertical="top" wrapText="1"/>
    </xf>
    <xf numFmtId="4" fontId="73" fillId="0" borderId="19" xfId="0" applyNumberFormat="1" applyFont="1" applyBorder="1" applyAlignment="1">
      <alignment horizontal="justify" vertical="top" wrapText="1"/>
    </xf>
    <xf numFmtId="4" fontId="13" fillId="0" borderId="1" xfId="0" applyNumberFormat="1" applyFont="1" applyBorder="1" applyAlignment="1">
      <alignment horizontal="justify" vertical="top" wrapText="1"/>
    </xf>
    <xf numFmtId="4" fontId="74" fillId="0" borderId="17" xfId="0" applyNumberFormat="1" applyFont="1" applyBorder="1" applyAlignment="1">
      <alignment horizontal="right" wrapText="1"/>
    </xf>
    <xf numFmtId="4" fontId="74" fillId="0" borderId="0" xfId="0" applyNumberFormat="1" applyFont="1" applyBorder="1" applyAlignment="1">
      <alignment horizontal="right" vertical="top" wrapText="1"/>
    </xf>
    <xf numFmtId="4" fontId="11" fillId="0" borderId="0" xfId="0" applyNumberFormat="1" applyFont="1" applyBorder="1" applyAlignment="1">
      <alignment horizontal="justify" vertical="top" wrapText="1"/>
    </xf>
    <xf numFmtId="4" fontId="74" fillId="0" borderId="0" xfId="0" applyNumberFormat="1" applyFont="1" applyBorder="1" applyAlignment="1">
      <alignment horizontal="center" wrapText="1"/>
    </xf>
    <xf numFmtId="4" fontId="21" fillId="0" borderId="20" xfId="0" applyNumberFormat="1" applyFont="1" applyBorder="1" applyAlignment="1">
      <alignment horizontal="justify" vertical="top" wrapText="1"/>
    </xf>
    <xf numFmtId="4" fontId="21" fillId="0" borderId="21" xfId="0" applyNumberFormat="1" applyFont="1" applyBorder="1" applyAlignment="1">
      <alignment horizontal="justify" vertical="top" wrapText="1"/>
    </xf>
    <xf numFmtId="4" fontId="74" fillId="23" borderId="14" xfId="0" applyNumberFormat="1" applyFont="1" applyFill="1" applyBorder="1" applyAlignment="1">
      <alignment horizontal="right" vertical="top" wrapText="1"/>
    </xf>
    <xf numFmtId="4" fontId="74" fillId="23" borderId="14" xfId="0" applyNumberFormat="1" applyFont="1" applyFill="1" applyBorder="1" applyAlignment="1">
      <alignment horizontal="center" wrapText="1"/>
    </xf>
    <xf numFmtId="4" fontId="74" fillId="0" borderId="0" xfId="0" applyNumberFormat="1" applyFont="1" applyFill="1" applyBorder="1" applyAlignment="1">
      <alignment horizontal="right" vertical="top" wrapText="1"/>
    </xf>
    <xf numFmtId="4" fontId="74" fillId="0" borderId="0" xfId="0" applyNumberFormat="1" applyFont="1" applyFill="1" applyBorder="1" applyAlignment="1">
      <alignment horizontal="justify" vertical="top" wrapText="1"/>
    </xf>
    <xf numFmtId="4" fontId="74" fillId="0" borderId="0" xfId="0" applyNumberFormat="1" applyFont="1" applyFill="1" applyBorder="1" applyAlignment="1">
      <alignment horizontal="center" wrapText="1"/>
    </xf>
    <xf numFmtId="4" fontId="21" fillId="0" borderId="1" xfId="0" applyNumberFormat="1" applyFont="1" applyBorder="1" applyAlignment="1">
      <alignment horizontal="right" vertical="top" wrapText="1"/>
    </xf>
    <xf numFmtId="4" fontId="74" fillId="0" borderId="13" xfId="0" applyNumberFormat="1" applyFont="1" applyBorder="1" applyAlignment="1">
      <alignment horizontal="center" wrapText="1"/>
    </xf>
    <xf numFmtId="4" fontId="20" fillId="31" borderId="22" xfId="0" applyNumberFormat="1" applyFont="1" applyFill="1" applyBorder="1" applyAlignment="1">
      <alignment horizontal="justify" vertical="top" wrapText="1"/>
    </xf>
    <xf numFmtId="4" fontId="73" fillId="0" borderId="23" xfId="56" applyNumberFormat="1" applyFont="1" applyBorder="1" applyAlignment="1">
      <alignment horizontal="justify" vertical="top" wrapText="1"/>
      <protection/>
    </xf>
    <xf numFmtId="4" fontId="74" fillId="0" borderId="17" xfId="0" applyNumberFormat="1" applyFont="1" applyFill="1" applyBorder="1" applyAlignment="1">
      <alignment horizontal="center" wrapText="1"/>
    </xf>
    <xf numFmtId="4" fontId="11" fillId="0" borderId="20" xfId="0" applyNumberFormat="1" applyFont="1" applyFill="1" applyBorder="1" applyAlignment="1">
      <alignment horizontal="justify" vertical="top" wrapText="1"/>
    </xf>
    <xf numFmtId="4" fontId="13" fillId="0" borderId="18" xfId="0" applyNumberFormat="1" applyFont="1" applyFill="1" applyBorder="1" applyAlignment="1">
      <alignment horizontal="justify" vertical="top" wrapText="1"/>
    </xf>
    <xf numFmtId="4" fontId="14" fillId="0" borderId="18" xfId="0" applyNumberFormat="1" applyFont="1" applyBorder="1" applyAlignment="1">
      <alignment horizontal="justify" vertical="top" wrapText="1"/>
    </xf>
    <xf numFmtId="4" fontId="14" fillId="0" borderId="1" xfId="0" applyNumberFormat="1" applyFont="1" applyFill="1" applyBorder="1" applyAlignment="1">
      <alignment horizontal="justify" vertical="top" wrapText="1"/>
    </xf>
    <xf numFmtId="4" fontId="21" fillId="0" borderId="16" xfId="0" applyNumberFormat="1" applyFont="1" applyBorder="1" applyAlignment="1">
      <alignment horizontal="justify" vertical="top" wrapText="1"/>
    </xf>
    <xf numFmtId="4" fontId="11" fillId="0" borderId="23" xfId="0" applyNumberFormat="1" applyFont="1" applyBorder="1" applyAlignment="1">
      <alignment horizontal="justify" vertical="top" wrapText="1"/>
    </xf>
    <xf numFmtId="4" fontId="11" fillId="0" borderId="21" xfId="0" applyNumberFormat="1" applyFont="1" applyBorder="1" applyAlignment="1">
      <alignment horizontal="justify" vertical="top" wrapText="1"/>
    </xf>
    <xf numFmtId="4" fontId="11" fillId="0" borderId="13" xfId="0" applyNumberFormat="1" applyFont="1" applyBorder="1" applyAlignment="1">
      <alignment horizontal="justify" vertical="top" wrapText="1"/>
    </xf>
    <xf numFmtId="4" fontId="73" fillId="0" borderId="20" xfId="0" applyNumberFormat="1" applyFont="1" applyBorder="1" applyAlignment="1">
      <alignment horizontal="justify" vertical="top" wrapText="1"/>
    </xf>
    <xf numFmtId="4" fontId="14" fillId="0" borderId="1" xfId="0" applyNumberFormat="1" applyFont="1" applyBorder="1" applyAlignment="1">
      <alignment horizontal="justify" vertical="top" wrapText="1"/>
    </xf>
    <xf numFmtId="4" fontId="73" fillId="0" borderId="24" xfId="0" applyNumberFormat="1" applyFont="1" applyBorder="1" applyAlignment="1">
      <alignment horizontal="justify" vertical="top" wrapText="1"/>
    </xf>
    <xf numFmtId="4" fontId="11" fillId="0" borderId="1" xfId="0" applyNumberFormat="1" applyFont="1" applyBorder="1" applyAlignment="1">
      <alignment horizontal="justify" vertical="top" wrapText="1"/>
    </xf>
    <xf numFmtId="4" fontId="21" fillId="0" borderId="1" xfId="0" applyNumberFormat="1" applyFont="1" applyBorder="1" applyAlignment="1">
      <alignment horizontal="justify" vertical="top" wrapText="1"/>
    </xf>
    <xf numFmtId="4" fontId="74" fillId="0" borderId="0" xfId="0" applyNumberFormat="1" applyFont="1" applyAlignment="1">
      <alignment horizontal="right" vertical="top" wrapText="1"/>
    </xf>
    <xf numFmtId="4" fontId="11" fillId="0" borderId="0" xfId="0" applyNumberFormat="1" applyFont="1" applyAlignment="1">
      <alignment horizontal="justify" vertical="top" wrapText="1"/>
    </xf>
    <xf numFmtId="4" fontId="11" fillId="0" borderId="1" xfId="0" applyNumberFormat="1" applyFont="1" applyBorder="1" applyAlignment="1">
      <alignment horizontal="justify" vertical="top" wrapText="1"/>
    </xf>
    <xf numFmtId="4" fontId="10" fillId="0" borderId="0" xfId="0" applyNumberFormat="1" applyFont="1" applyBorder="1" applyAlignment="1">
      <alignment horizontal="left" vertical="top" wrapText="1"/>
    </xf>
    <xf numFmtId="4" fontId="9" fillId="7" borderId="14" xfId="0" applyNumberFormat="1" applyFont="1" applyFill="1" applyBorder="1" applyAlignment="1">
      <alignment horizontal="right" vertical="top" wrapText="1"/>
    </xf>
    <xf numFmtId="4" fontId="9" fillId="7" borderId="14" xfId="0" applyNumberFormat="1" applyFont="1" applyFill="1" applyBorder="1" applyAlignment="1">
      <alignment horizontal="justify" vertical="top" wrapText="1"/>
    </xf>
    <xf numFmtId="4" fontId="74" fillId="7" borderId="14" xfId="0" applyNumberFormat="1" applyFont="1" applyFill="1" applyBorder="1" applyAlignment="1">
      <alignment horizontal="center" wrapText="1"/>
    </xf>
    <xf numFmtId="4" fontId="75" fillId="0" borderId="0" xfId="0" applyNumberFormat="1" applyFont="1" applyBorder="1" applyAlignment="1">
      <alignment horizontal="left" vertical="top"/>
    </xf>
    <xf numFmtId="4" fontId="76" fillId="0" borderId="0" xfId="0" applyNumberFormat="1" applyFont="1" applyBorder="1" applyAlignment="1">
      <alignment horizontal="justify" vertical="top" wrapText="1"/>
    </xf>
    <xf numFmtId="4" fontId="72" fillId="0" borderId="0" xfId="0" applyNumberFormat="1" applyFont="1" applyAlignment="1">
      <alignment horizontal="justify" vertical="top" wrapText="1"/>
    </xf>
    <xf numFmtId="4" fontId="77" fillId="35" borderId="14" xfId="0" applyNumberFormat="1" applyFont="1" applyFill="1" applyBorder="1" applyAlignment="1">
      <alignment horizontal="justify" vertical="top" wrapText="1"/>
    </xf>
    <xf numFmtId="4" fontId="72" fillId="36" borderId="0" xfId="0" applyNumberFormat="1" applyFont="1" applyFill="1" applyAlignment="1">
      <alignment horizontal="justify" vertical="top" wrapText="1"/>
    </xf>
    <xf numFmtId="4" fontId="72" fillId="0" borderId="1" xfId="0" applyNumberFormat="1" applyFont="1" applyBorder="1" applyAlignment="1">
      <alignment horizontal="justify" vertical="top" wrapText="1"/>
    </xf>
    <xf numFmtId="4" fontId="72" fillId="23" borderId="14" xfId="0" applyNumberFormat="1" applyFont="1" applyFill="1" applyBorder="1" applyAlignment="1">
      <alignment horizontal="justify" vertical="top" wrapText="1"/>
    </xf>
    <xf numFmtId="4" fontId="10" fillId="37" borderId="25" xfId="0" applyNumberFormat="1" applyFont="1" applyFill="1" applyBorder="1" applyAlignment="1">
      <alignment horizontal="justify" vertical="top" wrapText="1"/>
    </xf>
    <xf numFmtId="4" fontId="10" fillId="0" borderId="1" xfId="0" applyNumberFormat="1" applyFont="1" applyFill="1" applyBorder="1" applyAlignment="1">
      <alignment horizontal="justify" vertical="top" wrapText="1"/>
    </xf>
    <xf numFmtId="4" fontId="10" fillId="0" borderId="26" xfId="0" applyNumberFormat="1" applyFont="1" applyFill="1" applyBorder="1" applyAlignment="1">
      <alignment horizontal="justify" vertical="top" wrapText="1"/>
    </xf>
    <xf numFmtId="4" fontId="10" fillId="0" borderId="0" xfId="0" applyNumberFormat="1" applyFont="1" applyFill="1" applyBorder="1" applyAlignment="1">
      <alignment horizontal="justify" vertical="top" wrapText="1"/>
    </xf>
    <xf numFmtId="4" fontId="9" fillId="23" borderId="1" xfId="0" applyNumberFormat="1" applyFont="1" applyFill="1" applyBorder="1" applyAlignment="1">
      <alignment horizontal="justify" vertical="top" wrapText="1"/>
    </xf>
    <xf numFmtId="4" fontId="21" fillId="38" borderId="1" xfId="0" applyNumberFormat="1" applyFont="1" applyFill="1" applyBorder="1" applyAlignment="1">
      <alignment horizontal="justify" vertical="top" wrapText="1"/>
    </xf>
    <xf numFmtId="4" fontId="21" fillId="0" borderId="1" xfId="0" applyNumberFormat="1" applyFont="1" applyFill="1" applyBorder="1" applyAlignment="1">
      <alignment horizontal="justify" vertical="top" wrapText="1"/>
    </xf>
    <xf numFmtId="4" fontId="11" fillId="0" borderId="0" xfId="0" applyNumberFormat="1" applyFont="1" applyFill="1" applyAlignment="1">
      <alignment horizontal="justify" vertical="top" wrapText="1"/>
    </xf>
    <xf numFmtId="4" fontId="9" fillId="39" borderId="14" xfId="0" applyNumberFormat="1" applyFont="1" applyFill="1" applyBorder="1" applyAlignment="1">
      <alignment horizontal="justify" vertical="top" wrapText="1"/>
    </xf>
    <xf numFmtId="4" fontId="74" fillId="40" borderId="26" xfId="0" applyNumberFormat="1" applyFont="1" applyFill="1" applyBorder="1" applyAlignment="1">
      <alignment horizontal="justify" vertical="top" wrapText="1"/>
    </xf>
    <xf numFmtId="4" fontId="21" fillId="31" borderId="14" xfId="0" applyNumberFormat="1" applyFont="1" applyFill="1" applyBorder="1" applyAlignment="1">
      <alignment horizontal="justify" vertical="top" wrapText="1"/>
    </xf>
    <xf numFmtId="4" fontId="74" fillId="41" borderId="0" xfId="0" applyNumberFormat="1" applyFont="1" applyFill="1" applyBorder="1" applyAlignment="1">
      <alignment horizontal="justify" vertical="top" wrapText="1"/>
    </xf>
    <xf numFmtId="4" fontId="11" fillId="42" borderId="0" xfId="0" applyNumberFormat="1" applyFont="1" applyFill="1" applyAlignment="1">
      <alignment horizontal="justify" vertical="top" wrapText="1"/>
    </xf>
    <xf numFmtId="4" fontId="11" fillId="43" borderId="0" xfId="0" applyNumberFormat="1" applyFont="1" applyFill="1" applyAlignment="1">
      <alignment horizontal="justify" vertical="top" wrapText="1"/>
    </xf>
    <xf numFmtId="4" fontId="9" fillId="23" borderId="1" xfId="0" applyNumberFormat="1" applyFont="1" applyFill="1" applyBorder="1" applyAlignment="1">
      <alignment horizontal="right" vertical="top" wrapText="1"/>
    </xf>
    <xf numFmtId="4" fontId="21" fillId="38" borderId="1" xfId="0" applyNumberFormat="1" applyFont="1" applyFill="1" applyBorder="1" applyAlignment="1">
      <alignment horizontal="right" vertical="top" wrapText="1"/>
    </xf>
    <xf numFmtId="4" fontId="21" fillId="0" borderId="1" xfId="0" applyNumberFormat="1" applyFont="1" applyFill="1" applyBorder="1" applyAlignment="1">
      <alignment horizontal="right" vertical="top" wrapText="1"/>
    </xf>
    <xf numFmtId="4" fontId="74" fillId="0" borderId="0" xfId="0" applyNumberFormat="1" applyFont="1" applyBorder="1" applyAlignment="1">
      <alignment horizontal="right" wrapText="1"/>
    </xf>
    <xf numFmtId="4" fontId="11" fillId="0" borderId="0" xfId="0" applyNumberFormat="1" applyFont="1" applyBorder="1" applyAlignment="1">
      <alignment horizontal="right" wrapText="1"/>
    </xf>
    <xf numFmtId="4" fontId="74" fillId="35" borderId="14" xfId="0" applyNumberFormat="1" applyFont="1" applyFill="1" applyBorder="1" applyAlignment="1">
      <alignment horizontal="right" wrapText="1"/>
    </xf>
    <xf numFmtId="4" fontId="9" fillId="35" borderId="27" xfId="0" applyNumberFormat="1" applyFont="1" applyFill="1" applyBorder="1" applyAlignment="1">
      <alignment horizontal="right" wrapText="1"/>
    </xf>
    <xf numFmtId="4" fontId="74" fillId="36" borderId="0" xfId="0" applyNumberFormat="1" applyFont="1" applyFill="1" applyBorder="1" applyAlignment="1">
      <alignment horizontal="right" wrapText="1"/>
    </xf>
    <xf numFmtId="4" fontId="11" fillId="36" borderId="28" xfId="0" applyNumberFormat="1" applyFont="1" applyFill="1" applyBorder="1" applyAlignment="1">
      <alignment horizontal="right" wrapText="1"/>
    </xf>
    <xf numFmtId="4" fontId="74" fillId="0" borderId="1" xfId="0" applyNumberFormat="1" applyFont="1" applyBorder="1" applyAlignment="1">
      <alignment horizontal="right" wrapText="1"/>
    </xf>
    <xf numFmtId="4" fontId="11" fillId="0" borderId="18" xfId="0" applyNumberFormat="1" applyFont="1" applyBorder="1" applyAlignment="1">
      <alignment horizontal="right" wrapText="1"/>
    </xf>
    <xf numFmtId="4" fontId="19" fillId="0" borderId="29" xfId="0" applyNumberFormat="1" applyFont="1" applyBorder="1" applyAlignment="1">
      <alignment horizontal="right" wrapText="1"/>
    </xf>
    <xf numFmtId="4" fontId="74" fillId="0" borderId="23" xfId="0" applyNumberFormat="1" applyFont="1" applyBorder="1" applyAlignment="1">
      <alignment horizontal="right" wrapText="1"/>
    </xf>
    <xf numFmtId="4" fontId="11" fillId="0" borderId="16" xfId="0" applyNumberFormat="1" applyFont="1" applyBorder="1" applyAlignment="1">
      <alignment horizontal="right" wrapText="1"/>
    </xf>
    <xf numFmtId="4" fontId="74" fillId="44" borderId="26" xfId="0" applyNumberFormat="1" applyFont="1" applyFill="1" applyBorder="1" applyAlignment="1">
      <alignment horizontal="right" wrapText="1"/>
    </xf>
    <xf numFmtId="4" fontId="21" fillId="44" borderId="30" xfId="0" applyNumberFormat="1" applyFont="1" applyFill="1" applyBorder="1" applyAlignment="1">
      <alignment horizontal="right" wrapText="1"/>
    </xf>
    <xf numFmtId="4" fontId="74" fillId="4" borderId="31" xfId="0" applyNumberFormat="1" applyFont="1" applyFill="1" applyBorder="1" applyAlignment="1">
      <alignment horizontal="right" wrapText="1"/>
    </xf>
    <xf numFmtId="4" fontId="74" fillId="23" borderId="14" xfId="0" applyNumberFormat="1" applyFont="1" applyFill="1" applyBorder="1" applyAlignment="1">
      <alignment horizontal="right" wrapText="1"/>
    </xf>
    <xf numFmtId="4" fontId="9" fillId="23" borderId="32" xfId="0" applyNumberFormat="1" applyFont="1" applyFill="1" applyBorder="1" applyAlignment="1">
      <alignment horizontal="right" wrapText="1"/>
    </xf>
    <xf numFmtId="4" fontId="74" fillId="37" borderId="25" xfId="0" applyNumberFormat="1" applyFont="1" applyFill="1" applyBorder="1" applyAlignment="1">
      <alignment horizontal="right" wrapText="1"/>
    </xf>
    <xf numFmtId="4" fontId="11" fillId="37" borderId="33" xfId="0" applyNumberFormat="1" applyFont="1" applyFill="1" applyBorder="1" applyAlignment="1">
      <alignment horizontal="right" wrapText="1"/>
    </xf>
    <xf numFmtId="4" fontId="74" fillId="0" borderId="1" xfId="0" applyNumberFormat="1" applyFont="1" applyFill="1" applyBorder="1" applyAlignment="1">
      <alignment horizontal="right" wrapText="1"/>
    </xf>
    <xf numFmtId="4" fontId="11" fillId="0" borderId="18" xfId="0" applyNumberFormat="1" applyFont="1" applyFill="1" applyBorder="1" applyAlignment="1">
      <alignment horizontal="right" wrapText="1"/>
    </xf>
    <xf numFmtId="4" fontId="21" fillId="0" borderId="34" xfId="0" applyNumberFormat="1" applyFont="1" applyFill="1" applyBorder="1" applyAlignment="1">
      <alignment horizontal="right" wrapText="1"/>
    </xf>
    <xf numFmtId="4" fontId="74" fillId="0" borderId="26" xfId="0" applyNumberFormat="1" applyFont="1" applyFill="1" applyBorder="1" applyAlignment="1">
      <alignment horizontal="right" wrapText="1"/>
    </xf>
    <xf numFmtId="4" fontId="21" fillId="0" borderId="35" xfId="0" applyNumberFormat="1" applyFont="1" applyFill="1" applyBorder="1" applyAlignment="1">
      <alignment horizontal="right" wrapText="1"/>
    </xf>
    <xf numFmtId="4" fontId="74" fillId="45" borderId="31" xfId="0" applyNumberFormat="1" applyFont="1" applyFill="1" applyBorder="1" applyAlignment="1">
      <alignment horizontal="right" wrapText="1"/>
    </xf>
    <xf numFmtId="4" fontId="20" fillId="45" borderId="36" xfId="0" applyNumberFormat="1" applyFont="1" applyFill="1" applyBorder="1" applyAlignment="1">
      <alignment horizontal="right" wrapText="1"/>
    </xf>
    <xf numFmtId="4" fontId="74" fillId="0" borderId="0" xfId="0" applyNumberFormat="1" applyFont="1" applyFill="1" applyBorder="1" applyAlignment="1">
      <alignment horizontal="right" wrapText="1"/>
    </xf>
    <xf numFmtId="4" fontId="11" fillId="0" borderId="0" xfId="0" applyNumberFormat="1" applyFont="1" applyFill="1" applyBorder="1" applyAlignment="1">
      <alignment horizontal="right" wrapText="1"/>
    </xf>
    <xf numFmtId="4" fontId="74" fillId="23" borderId="1" xfId="0" applyNumberFormat="1" applyFont="1" applyFill="1" applyBorder="1" applyAlignment="1">
      <alignment horizontal="right" wrapText="1"/>
    </xf>
    <xf numFmtId="4" fontId="11" fillId="23" borderId="18" xfId="0" applyNumberFormat="1" applyFont="1" applyFill="1" applyBorder="1" applyAlignment="1">
      <alignment horizontal="right" wrapText="1"/>
    </xf>
    <xf numFmtId="4" fontId="11" fillId="38" borderId="1" xfId="0" applyNumberFormat="1" applyFont="1" applyFill="1" applyBorder="1" applyAlignment="1">
      <alignment horizontal="right" wrapText="1"/>
    </xf>
    <xf numFmtId="4" fontId="11" fillId="38" borderId="18" xfId="0" applyNumberFormat="1" applyFont="1" applyFill="1" applyBorder="1" applyAlignment="1">
      <alignment horizontal="right" wrapText="1"/>
    </xf>
    <xf numFmtId="4" fontId="11" fillId="0" borderId="1" xfId="0" applyNumberFormat="1" applyFont="1" applyBorder="1" applyAlignment="1">
      <alignment horizontal="right" wrapText="1"/>
    </xf>
    <xf numFmtId="4" fontId="74" fillId="39" borderId="14" xfId="0" applyNumberFormat="1" applyFont="1" applyFill="1" applyBorder="1" applyAlignment="1">
      <alignment horizontal="right" wrapText="1"/>
    </xf>
    <xf numFmtId="4" fontId="11" fillId="39" borderId="37" xfId="0" applyNumberFormat="1" applyFont="1" applyFill="1" applyBorder="1" applyAlignment="1">
      <alignment horizontal="right" wrapText="1"/>
    </xf>
    <xf numFmtId="4" fontId="74" fillId="0" borderId="13" xfId="0" applyNumberFormat="1" applyFont="1" applyBorder="1" applyAlignment="1">
      <alignment horizontal="right" wrapText="1"/>
    </xf>
    <xf numFmtId="4" fontId="11" fillId="0" borderId="13" xfId="0" applyNumberFormat="1" applyFont="1" applyBorder="1" applyAlignment="1">
      <alignment horizontal="right" wrapText="1"/>
    </xf>
    <xf numFmtId="4" fontId="11" fillId="0" borderId="38" xfId="0" applyNumberFormat="1" applyFont="1" applyBorder="1" applyAlignment="1">
      <alignment horizontal="right" wrapText="1"/>
    </xf>
    <xf numFmtId="4" fontId="74" fillId="46" borderId="14" xfId="0" applyNumberFormat="1" applyFont="1" applyFill="1" applyBorder="1" applyAlignment="1">
      <alignment horizontal="right" wrapText="1"/>
    </xf>
    <xf numFmtId="4" fontId="9" fillId="7" borderId="14" xfId="0" applyNumberFormat="1" applyFont="1" applyFill="1" applyBorder="1" applyAlignment="1">
      <alignment horizontal="right" wrapText="1"/>
    </xf>
    <xf numFmtId="4" fontId="12" fillId="40" borderId="26" xfId="0" applyNumberFormat="1" applyFont="1" applyFill="1" applyBorder="1" applyAlignment="1">
      <alignment horizontal="right" wrapText="1"/>
    </xf>
    <xf numFmtId="4" fontId="12" fillId="40" borderId="39" xfId="0" applyNumberFormat="1" applyFont="1" applyFill="1" applyBorder="1" applyAlignment="1">
      <alignment horizontal="right" wrapText="1"/>
    </xf>
    <xf numFmtId="4" fontId="74" fillId="31" borderId="22" xfId="0" applyNumberFormat="1" applyFont="1" applyFill="1" applyBorder="1" applyAlignment="1">
      <alignment horizontal="right" wrapText="1"/>
    </xf>
    <xf numFmtId="4" fontId="11" fillId="31" borderId="22" xfId="0" applyNumberFormat="1" applyFont="1" applyFill="1" applyBorder="1" applyAlignment="1">
      <alignment horizontal="right" wrapText="1"/>
    </xf>
    <xf numFmtId="4" fontId="74" fillId="0" borderId="17" xfId="0" applyNumberFormat="1" applyFont="1" applyFill="1" applyBorder="1" applyAlignment="1">
      <alignment horizontal="right" wrapText="1"/>
    </xf>
    <xf numFmtId="4" fontId="11" fillId="0" borderId="19" xfId="0" applyNumberFormat="1" applyFont="1" applyFill="1" applyBorder="1" applyAlignment="1">
      <alignment horizontal="right" wrapText="1"/>
    </xf>
    <xf numFmtId="4" fontId="11" fillId="0" borderId="20" xfId="0" applyNumberFormat="1" applyFont="1" applyFill="1" applyBorder="1" applyAlignment="1">
      <alignment horizontal="right" wrapText="1"/>
    </xf>
    <xf numFmtId="4" fontId="11" fillId="34" borderId="18" xfId="0" applyNumberFormat="1" applyFont="1" applyFill="1" applyBorder="1" applyAlignment="1">
      <alignment horizontal="right" wrapText="1"/>
    </xf>
    <xf numFmtId="4" fontId="74" fillId="47" borderId="14" xfId="0" applyNumberFormat="1" applyFont="1" applyFill="1" applyBorder="1" applyAlignment="1">
      <alignment horizontal="right" wrapText="1"/>
    </xf>
    <xf numFmtId="4" fontId="74" fillId="41" borderId="0" xfId="0" applyNumberFormat="1" applyFont="1" applyFill="1" applyBorder="1" applyAlignment="1">
      <alignment horizontal="right" wrapText="1"/>
    </xf>
    <xf numFmtId="4" fontId="74" fillId="0" borderId="0" xfId="0" applyNumberFormat="1" applyFont="1" applyAlignment="1">
      <alignment horizontal="right" wrapText="1"/>
    </xf>
    <xf numFmtId="4" fontId="11" fillId="0" borderId="0" xfId="0" applyNumberFormat="1" applyFont="1" applyAlignment="1">
      <alignment horizontal="right" wrapText="1"/>
    </xf>
    <xf numFmtId="4" fontId="74" fillId="31" borderId="14" xfId="0" applyNumberFormat="1" applyFont="1" applyFill="1" applyBorder="1" applyAlignment="1">
      <alignment horizontal="right" wrapText="1"/>
    </xf>
    <xf numFmtId="4" fontId="11" fillId="31" borderId="14" xfId="0" applyNumberFormat="1" applyFont="1" applyFill="1" applyBorder="1" applyAlignment="1">
      <alignment horizontal="right" wrapText="1"/>
    </xf>
    <xf numFmtId="4" fontId="11" fillId="0" borderId="15" xfId="0" applyNumberFormat="1" applyFont="1" applyBorder="1" applyAlignment="1">
      <alignment horizontal="right" wrapText="1"/>
    </xf>
    <xf numFmtId="4" fontId="12" fillId="0" borderId="1" xfId="0" applyNumberFormat="1" applyFont="1" applyBorder="1" applyAlignment="1">
      <alignment horizontal="right" wrapText="1"/>
    </xf>
    <xf numFmtId="4" fontId="36" fillId="0" borderId="18" xfId="0" applyNumberFormat="1" applyFont="1" applyBorder="1" applyAlignment="1">
      <alignment horizontal="right" wrapText="1"/>
    </xf>
    <xf numFmtId="4" fontId="74" fillId="0" borderId="21" xfId="0" applyNumberFormat="1" applyFont="1" applyBorder="1" applyAlignment="1">
      <alignment horizontal="right" wrapText="1"/>
    </xf>
    <xf numFmtId="4" fontId="11" fillId="0" borderId="21" xfId="0" applyNumberFormat="1" applyFont="1" applyBorder="1" applyAlignment="1">
      <alignment horizontal="right" wrapText="1"/>
    </xf>
    <xf numFmtId="4" fontId="74" fillId="7" borderId="14" xfId="0" applyNumberFormat="1" applyFont="1" applyFill="1" applyBorder="1" applyAlignment="1">
      <alignment horizontal="right" wrapText="1"/>
    </xf>
    <xf numFmtId="4" fontId="11" fillId="7" borderId="14" xfId="0" applyNumberFormat="1" applyFont="1" applyFill="1" applyBorder="1" applyAlignment="1">
      <alignment horizontal="right" wrapText="1"/>
    </xf>
    <xf numFmtId="4" fontId="11" fillId="0" borderId="40" xfId="0" applyNumberFormat="1" applyFont="1" applyBorder="1" applyAlignment="1">
      <alignment horizontal="right" wrapText="1"/>
    </xf>
    <xf numFmtId="4" fontId="11" fillId="0" borderId="17" xfId="0" applyNumberFormat="1" applyFont="1" applyBorder="1" applyAlignment="1">
      <alignment horizontal="right" wrapText="1"/>
    </xf>
    <xf numFmtId="4" fontId="12" fillId="31" borderId="26" xfId="0" applyNumberFormat="1" applyFont="1" applyFill="1" applyBorder="1" applyAlignment="1">
      <alignment horizontal="right" wrapText="1"/>
    </xf>
    <xf numFmtId="4" fontId="12" fillId="31" borderId="39" xfId="0" applyNumberFormat="1" applyFont="1" applyFill="1" applyBorder="1" applyAlignment="1">
      <alignment horizontal="right" wrapText="1"/>
    </xf>
    <xf numFmtId="4" fontId="74" fillId="0" borderId="1" xfId="0" applyNumberFormat="1" applyFont="1" applyFill="1" applyBorder="1" applyAlignment="1">
      <alignment horizontal="center" wrapText="1"/>
    </xf>
    <xf numFmtId="4" fontId="74" fillId="23" borderId="1" xfId="0" applyNumberFormat="1" applyFont="1" applyFill="1" applyBorder="1" applyAlignment="1">
      <alignment horizontal="center" wrapText="1"/>
    </xf>
    <xf numFmtId="4" fontId="74" fillId="0" borderId="0" xfId="0" applyNumberFormat="1" applyFont="1" applyAlignment="1">
      <alignment horizontal="center" wrapText="1"/>
    </xf>
    <xf numFmtId="4" fontId="12" fillId="0" borderId="20" xfId="0" applyNumberFormat="1" applyFont="1" applyFill="1" applyBorder="1" applyAlignment="1">
      <alignment horizontal="justify" vertical="top" wrapText="1"/>
    </xf>
    <xf numFmtId="4" fontId="21" fillId="0" borderId="18" xfId="0" applyNumberFormat="1" applyFont="1" applyFill="1" applyBorder="1" applyAlignment="1">
      <alignment horizontal="right" vertical="top" wrapText="1"/>
    </xf>
    <xf numFmtId="4" fontId="21" fillId="0" borderId="20" xfId="0" applyNumberFormat="1" applyFont="1" applyFill="1" applyBorder="1" applyAlignment="1">
      <alignment horizontal="justify" vertical="top" wrapText="1"/>
    </xf>
    <xf numFmtId="4" fontId="21" fillId="0" borderId="13" xfId="0" applyNumberFormat="1" applyFont="1" applyBorder="1" applyAlignment="1">
      <alignment horizontal="right" vertical="top" wrapText="1"/>
    </xf>
    <xf numFmtId="4" fontId="21" fillId="0" borderId="13" xfId="0" applyNumberFormat="1" applyFont="1" applyBorder="1" applyAlignment="1">
      <alignment horizontal="justify" vertical="top" wrapText="1"/>
    </xf>
    <xf numFmtId="4" fontId="21" fillId="46" borderId="26" xfId="0" applyNumberFormat="1" applyFont="1" applyFill="1" applyBorder="1" applyAlignment="1">
      <alignment horizontal="right" vertical="top" wrapText="1"/>
    </xf>
    <xf numFmtId="4" fontId="21" fillId="46" borderId="26" xfId="0" applyNumberFormat="1" applyFont="1" applyFill="1" applyBorder="1" applyAlignment="1">
      <alignment horizontal="justify" vertical="top" wrapText="1"/>
    </xf>
    <xf numFmtId="4" fontId="12" fillId="46" borderId="26" xfId="0" applyNumberFormat="1" applyFont="1" applyFill="1" applyBorder="1" applyAlignment="1">
      <alignment wrapText="1"/>
    </xf>
    <xf numFmtId="4" fontId="36" fillId="46" borderId="26" xfId="0" applyNumberFormat="1" applyFont="1" applyFill="1" applyBorder="1" applyAlignment="1">
      <alignment horizontal="right" wrapText="1"/>
    </xf>
    <xf numFmtId="4" fontId="14" fillId="0" borderId="1" xfId="56" applyNumberFormat="1" applyFont="1" applyBorder="1" applyAlignment="1">
      <alignment horizontal="right" vertical="top" wrapText="1"/>
      <protection/>
    </xf>
    <xf numFmtId="4" fontId="78" fillId="0" borderId="1" xfId="56" applyNumberFormat="1" applyFont="1" applyBorder="1" applyAlignment="1">
      <alignment horizontal="justify" vertical="top" wrapText="1"/>
      <protection/>
    </xf>
    <xf numFmtId="4" fontId="74" fillId="0" borderId="17" xfId="0" applyNumberFormat="1" applyFont="1" applyFill="1" applyBorder="1" applyAlignment="1">
      <alignment wrapText="1"/>
    </xf>
    <xf numFmtId="4" fontId="11" fillId="0" borderId="12" xfId="0" applyNumberFormat="1" applyFont="1" applyFill="1" applyBorder="1" applyAlignment="1">
      <alignment horizontal="right" wrapText="1"/>
    </xf>
    <xf numFmtId="4" fontId="13" fillId="0" borderId="1" xfId="56" applyNumberFormat="1" applyFont="1" applyBorder="1" applyAlignment="1">
      <alignment vertical="top" wrapText="1"/>
      <protection/>
    </xf>
    <xf numFmtId="4" fontId="13" fillId="0" borderId="1" xfId="56" applyNumberFormat="1" applyFont="1" applyBorder="1" applyAlignment="1">
      <alignment horizontal="justify" vertical="top" wrapText="1"/>
      <protection/>
    </xf>
    <xf numFmtId="4" fontId="79" fillId="0" borderId="1" xfId="56" applyNumberFormat="1" applyFont="1" applyBorder="1" applyAlignment="1">
      <alignment horizontal="justify" vertical="top" wrapText="1"/>
      <protection/>
    </xf>
    <xf numFmtId="4" fontId="14" fillId="0" borderId="1" xfId="0" applyNumberFormat="1" applyFont="1" applyBorder="1" applyAlignment="1">
      <alignment horizontal="right" vertical="top"/>
    </xf>
    <xf numFmtId="4" fontId="74" fillId="46" borderId="26" xfId="0" applyNumberFormat="1" applyFont="1" applyFill="1" applyBorder="1" applyAlignment="1">
      <alignment horizontal="right" vertical="top" wrapText="1"/>
    </xf>
    <xf numFmtId="4" fontId="12" fillId="46" borderId="26" xfId="0" applyNumberFormat="1" applyFont="1" applyFill="1" applyBorder="1" applyAlignment="1">
      <alignment horizontal="right" vertical="top" wrapText="1"/>
    </xf>
    <xf numFmtId="4" fontId="12" fillId="46" borderId="26" xfId="0" applyNumberFormat="1" applyFont="1" applyFill="1" applyBorder="1" applyAlignment="1">
      <alignment horizontal="right" wrapText="1"/>
    </xf>
    <xf numFmtId="4" fontId="20" fillId="46" borderId="26" xfId="0" applyNumberFormat="1" applyFont="1" applyFill="1" applyBorder="1" applyAlignment="1">
      <alignment horizontal="justify" vertical="top" wrapText="1"/>
    </xf>
    <xf numFmtId="4" fontId="78" fillId="0" borderId="17" xfId="0" applyNumberFormat="1" applyFont="1" applyBorder="1" applyAlignment="1">
      <alignment horizontal="justify" vertical="top" wrapText="1"/>
    </xf>
    <xf numFmtId="4" fontId="74" fillId="0" borderId="17" xfId="0" applyNumberFormat="1" applyFont="1" applyBorder="1" applyAlignment="1">
      <alignment wrapText="1"/>
    </xf>
    <xf numFmtId="4" fontId="36" fillId="0" borderId="12" xfId="0" applyNumberFormat="1" applyFont="1" applyBorder="1" applyAlignment="1">
      <alignment horizontal="right" wrapText="1"/>
    </xf>
    <xf numFmtId="4" fontId="20" fillId="46" borderId="26" xfId="0" applyNumberFormat="1" applyFont="1" applyFill="1" applyBorder="1" applyAlignment="1">
      <alignment wrapText="1"/>
    </xf>
    <xf numFmtId="4" fontId="14" fillId="0" borderId="20" xfId="0" applyNumberFormat="1" applyFont="1" applyBorder="1" applyAlignment="1">
      <alignment horizontal="justify" vertical="top" wrapText="1"/>
    </xf>
    <xf numFmtId="4" fontId="74" fillId="0" borderId="1" xfId="0" applyNumberFormat="1" applyFont="1" applyBorder="1" applyAlignment="1">
      <alignment wrapText="1"/>
    </xf>
    <xf numFmtId="4" fontId="36" fillId="0" borderId="1" xfId="0" applyNumberFormat="1" applyFont="1" applyBorder="1" applyAlignment="1">
      <alignment/>
    </xf>
    <xf numFmtId="4" fontId="36" fillId="0" borderId="1" xfId="0" applyNumberFormat="1" applyFont="1" applyBorder="1" applyAlignment="1">
      <alignment horizontal="right" wrapText="1"/>
    </xf>
    <xf numFmtId="4" fontId="12" fillId="0" borderId="1" xfId="0" applyNumberFormat="1" applyFont="1" applyBorder="1" applyAlignment="1">
      <alignment/>
    </xf>
    <xf numFmtId="4" fontId="36" fillId="0" borderId="1" xfId="0" applyNumberFormat="1" applyFont="1" applyBorder="1" applyAlignment="1">
      <alignment horizontal="right"/>
    </xf>
    <xf numFmtId="4" fontId="74" fillId="31" borderId="14" xfId="0" applyNumberFormat="1" applyFont="1" applyFill="1" applyBorder="1" applyAlignment="1">
      <alignment wrapText="1"/>
    </xf>
    <xf numFmtId="4" fontId="36" fillId="31" borderId="14" xfId="0" applyNumberFormat="1" applyFont="1" applyFill="1" applyBorder="1" applyAlignment="1">
      <alignment/>
    </xf>
    <xf numFmtId="4" fontId="74" fillId="0" borderId="17" xfId="0" applyNumberFormat="1" applyFont="1" applyBorder="1" applyAlignment="1">
      <alignment horizontal="justify" vertical="top" wrapText="1"/>
    </xf>
    <xf numFmtId="4" fontId="36" fillId="0" borderId="17" xfId="0" applyNumberFormat="1" applyFont="1" applyBorder="1" applyAlignment="1">
      <alignment horizontal="right" wrapText="1"/>
    </xf>
    <xf numFmtId="4" fontId="21" fillId="46" borderId="14" xfId="0" applyNumberFormat="1" applyFont="1" applyFill="1" applyBorder="1" applyAlignment="1">
      <alignment horizontal="right" vertical="top" wrapText="1"/>
    </xf>
    <xf numFmtId="4" fontId="12" fillId="46" borderId="14" xfId="0" applyNumberFormat="1" applyFont="1" applyFill="1" applyBorder="1" applyAlignment="1">
      <alignment wrapText="1"/>
    </xf>
    <xf numFmtId="4" fontId="12" fillId="46" borderId="14" xfId="0" applyNumberFormat="1" applyFont="1" applyFill="1" applyBorder="1" applyAlignment="1">
      <alignment horizontal="right" wrapText="1"/>
    </xf>
    <xf numFmtId="4" fontId="21" fillId="0" borderId="25" xfId="0" applyNumberFormat="1" applyFont="1" applyFill="1" applyBorder="1" applyAlignment="1">
      <alignment horizontal="justify" vertical="top" wrapText="1"/>
    </xf>
    <xf numFmtId="4" fontId="21" fillId="0" borderId="25" xfId="0" applyNumberFormat="1" applyFont="1" applyFill="1" applyBorder="1" applyAlignment="1">
      <alignment horizontal="right" wrapText="1"/>
    </xf>
    <xf numFmtId="4" fontId="21" fillId="31" borderId="14" xfId="0" applyNumberFormat="1" applyFont="1" applyFill="1" applyBorder="1" applyAlignment="1">
      <alignment horizontal="right" vertical="top" wrapText="1"/>
    </xf>
    <xf numFmtId="4" fontId="12" fillId="31" borderId="14" xfId="0" applyNumberFormat="1" applyFont="1" applyFill="1" applyBorder="1" applyAlignment="1">
      <alignment/>
    </xf>
    <xf numFmtId="4" fontId="78" fillId="0" borderId="0" xfId="0" applyNumberFormat="1" applyFont="1" applyBorder="1" applyAlignment="1">
      <alignment horizontal="justify" vertical="top" wrapText="1"/>
    </xf>
    <xf numFmtId="4" fontId="12" fillId="0" borderId="17" xfId="0" applyNumberFormat="1" applyFont="1" applyBorder="1" applyAlignment="1">
      <alignment/>
    </xf>
    <xf numFmtId="4" fontId="36" fillId="0" borderId="17" xfId="0" applyNumberFormat="1" applyFont="1" applyBorder="1" applyAlignment="1">
      <alignment horizontal="right"/>
    </xf>
    <xf numFmtId="4" fontId="13" fillId="0" borderId="0" xfId="0" applyNumberFormat="1" applyFont="1" applyBorder="1" applyAlignment="1">
      <alignment horizontal="justify" vertical="top" wrapText="1"/>
    </xf>
    <xf numFmtId="4" fontId="12" fillId="0" borderId="0" xfId="0" applyNumberFormat="1" applyFont="1" applyBorder="1" applyAlignment="1">
      <alignment/>
    </xf>
    <xf numFmtId="4" fontId="36" fillId="0" borderId="0" xfId="0" applyNumberFormat="1" applyFont="1" applyBorder="1" applyAlignment="1">
      <alignment horizontal="right"/>
    </xf>
    <xf numFmtId="4" fontId="12" fillId="31" borderId="26" xfId="0" applyNumberFormat="1" applyFont="1" applyFill="1" applyBorder="1" applyAlignment="1">
      <alignment horizontal="right" vertical="top" wrapText="1"/>
    </xf>
    <xf numFmtId="4" fontId="21" fillId="23" borderId="14" xfId="0" applyNumberFormat="1" applyFont="1" applyFill="1" applyBorder="1" applyAlignment="1">
      <alignment horizontal="right" vertical="top" wrapText="1"/>
    </xf>
    <xf numFmtId="4" fontId="74" fillId="0" borderId="0" xfId="0" applyNumberFormat="1" applyFont="1" applyBorder="1" applyAlignment="1">
      <alignment vertical="top"/>
    </xf>
    <xf numFmtId="4" fontId="11" fillId="0" borderId="0" xfId="0" applyNumberFormat="1" applyFont="1" applyBorder="1" applyAlignment="1">
      <alignment vertical="top"/>
    </xf>
    <xf numFmtId="4" fontId="11" fillId="0" borderId="0" xfId="0" applyNumberFormat="1" applyFont="1" applyAlignment="1">
      <alignment vertical="top"/>
    </xf>
    <xf numFmtId="4" fontId="80" fillId="0" borderId="0" xfId="0" applyNumberFormat="1" applyFont="1" applyAlignment="1">
      <alignment vertical="top"/>
    </xf>
    <xf numFmtId="4" fontId="81" fillId="0" borderId="0" xfId="0" applyNumberFormat="1" applyFont="1" applyBorder="1" applyAlignment="1">
      <alignment horizontal="justify" vertical="top" wrapText="1"/>
    </xf>
    <xf numFmtId="4" fontId="72" fillId="4" borderId="31" xfId="0" applyNumberFormat="1" applyFont="1" applyFill="1" applyBorder="1" applyAlignment="1">
      <alignment horizontal="right" vertical="top" wrapText="1"/>
    </xf>
    <xf numFmtId="4" fontId="72" fillId="44" borderId="26" xfId="0" applyNumberFormat="1" applyFont="1" applyFill="1" applyBorder="1" applyAlignment="1">
      <alignment horizontal="right" vertical="top" wrapText="1"/>
    </xf>
    <xf numFmtId="4" fontId="10" fillId="45" borderId="31" xfId="0" applyNumberFormat="1" applyFont="1" applyFill="1" applyBorder="1" applyAlignment="1">
      <alignment horizontal="right" vertical="top" wrapText="1"/>
    </xf>
    <xf numFmtId="4" fontId="19" fillId="0" borderId="19" xfId="56" applyNumberFormat="1" applyFont="1" applyBorder="1" applyAlignment="1">
      <alignment horizontal="justify" vertical="top" wrapText="1"/>
      <protection/>
    </xf>
    <xf numFmtId="4" fontId="11" fillId="0" borderId="17" xfId="0" applyNumberFormat="1" applyFont="1" applyBorder="1" applyAlignment="1">
      <alignment horizontal="justify" vertical="top" wrapText="1"/>
    </xf>
    <xf numFmtId="4" fontId="82" fillId="0" borderId="1" xfId="0" applyNumberFormat="1" applyFont="1" applyFill="1" applyBorder="1" applyAlignment="1">
      <alignment horizontal="justify" vertical="top" wrapText="1"/>
    </xf>
    <xf numFmtId="4" fontId="74" fillId="0" borderId="20" xfId="0" applyNumberFormat="1" applyFont="1" applyFill="1" applyBorder="1" applyAlignment="1">
      <alignment horizontal="justify" vertical="top" wrapText="1"/>
    </xf>
    <xf numFmtId="4" fontId="13" fillId="0" borderId="1" xfId="0" applyNumberFormat="1" applyFont="1" applyFill="1" applyBorder="1" applyAlignment="1">
      <alignment horizontal="justify" wrapText="1"/>
    </xf>
    <xf numFmtId="4" fontId="14" fillId="0" borderId="1" xfId="0" applyNumberFormat="1" applyFont="1" applyFill="1" applyBorder="1" applyAlignment="1">
      <alignment horizontal="justify" wrapText="1"/>
    </xf>
    <xf numFmtId="4" fontId="13" fillId="0" borderId="15" xfId="0" applyNumberFormat="1" applyFont="1" applyFill="1" applyBorder="1" applyAlignment="1">
      <alignment horizontal="justify" vertical="top" wrapText="1"/>
    </xf>
    <xf numFmtId="4" fontId="14" fillId="0" borderId="18" xfId="0" applyNumberFormat="1" applyFont="1" applyFill="1" applyBorder="1" applyAlignment="1">
      <alignment horizontal="justify" vertical="top" wrapText="1"/>
    </xf>
    <xf numFmtId="4" fontId="11" fillId="0" borderId="15" xfId="0" applyNumberFormat="1" applyFont="1" applyFill="1" applyBorder="1" applyAlignment="1">
      <alignment horizontal="justify" vertical="top" wrapText="1"/>
    </xf>
    <xf numFmtId="4" fontId="14" fillId="0" borderId="23" xfId="0" applyNumberFormat="1" applyFont="1" applyFill="1" applyBorder="1" applyAlignment="1">
      <alignment horizontal="justify" vertical="top" wrapText="1"/>
    </xf>
    <xf numFmtId="4" fontId="21" fillId="0" borderId="41" xfId="0" applyNumberFormat="1" applyFont="1" applyBorder="1" applyAlignment="1">
      <alignment horizontal="right" vertical="top" wrapText="1"/>
    </xf>
    <xf numFmtId="0" fontId="83" fillId="0" borderId="1" xfId="0" applyFont="1" applyBorder="1" applyAlignment="1">
      <alignment horizontal="justify" vertical="top" wrapText="1"/>
    </xf>
    <xf numFmtId="0" fontId="36" fillId="0" borderId="0" xfId="0" applyFont="1" applyAlignment="1">
      <alignment horizontal="justify" vertical="top" wrapText="1"/>
    </xf>
    <xf numFmtId="4" fontId="21" fillId="0" borderId="23" xfId="0" applyNumberFormat="1" applyFont="1" applyFill="1" applyBorder="1" applyAlignment="1">
      <alignment horizontal="justify" vertical="top" wrapText="1"/>
    </xf>
    <xf numFmtId="4" fontId="19" fillId="0" borderId="1" xfId="0" applyNumberFormat="1" applyFont="1" applyBorder="1" applyAlignment="1">
      <alignment horizontal="justify" vertical="top" wrapText="1"/>
    </xf>
    <xf numFmtId="4" fontId="21" fillId="0" borderId="1" xfId="0" applyNumberFormat="1" applyFont="1" applyBorder="1" applyAlignment="1">
      <alignment horizontal="right" wrapText="1"/>
    </xf>
    <xf numFmtId="4" fontId="19" fillId="0" borderId="16" xfId="0" applyNumberFormat="1" applyFont="1" applyBorder="1" applyAlignment="1">
      <alignment horizontal="right" wrapText="1"/>
    </xf>
    <xf numFmtId="4" fontId="21" fillId="0" borderId="13" xfId="0" applyNumberFormat="1" applyFont="1" applyBorder="1" applyAlignment="1">
      <alignment horizontal="right" wrapText="1"/>
    </xf>
    <xf numFmtId="4" fontId="19" fillId="0" borderId="38" xfId="0" applyNumberFormat="1" applyFont="1" applyBorder="1" applyAlignment="1">
      <alignment horizontal="right" wrapText="1"/>
    </xf>
    <xf numFmtId="4" fontId="74" fillId="0" borderId="1" xfId="0" applyNumberFormat="1" applyFont="1" applyBorder="1" applyAlignment="1">
      <alignment horizontal="justify" vertical="top" wrapText="1"/>
    </xf>
    <xf numFmtId="0" fontId="19" fillId="0" borderId="1" xfId="0" applyFont="1" applyBorder="1" applyAlignment="1">
      <alignment horizontal="justify" vertical="top" wrapText="1"/>
    </xf>
    <xf numFmtId="0" fontId="21" fillId="0" borderId="1" xfId="0" applyFont="1" applyBorder="1" applyAlignment="1">
      <alignment vertical="top" wrapText="1"/>
    </xf>
    <xf numFmtId="0" fontId="19" fillId="0" borderId="1" xfId="0" applyFont="1" applyBorder="1" applyAlignment="1">
      <alignment/>
    </xf>
    <xf numFmtId="0" fontId="21" fillId="0" borderId="1" xfId="0" applyFont="1" applyBorder="1" applyAlignment="1">
      <alignment horizontal="justify" vertical="top" wrapText="1"/>
    </xf>
    <xf numFmtId="0" fontId="24" fillId="0" borderId="1" xfId="0" applyFont="1" applyBorder="1" applyAlignment="1">
      <alignment horizontal="justify" vertical="top" wrapText="1"/>
    </xf>
    <xf numFmtId="0" fontId="20" fillId="0" borderId="1" xfId="0" applyFont="1" applyBorder="1" applyAlignment="1">
      <alignment horizontal="justify" vertical="top" wrapText="1"/>
    </xf>
    <xf numFmtId="4" fontId="20" fillId="0" borderId="1" xfId="0" applyNumberFormat="1" applyFont="1" applyBorder="1" applyAlignment="1">
      <alignment horizontal="justify" vertical="top" wrapText="1"/>
    </xf>
    <xf numFmtId="4" fontId="12" fillId="0" borderId="1" xfId="0" applyNumberFormat="1" applyFont="1" applyFill="1" applyBorder="1" applyAlignment="1">
      <alignment horizontal="justify" vertical="top" wrapText="1"/>
    </xf>
    <xf numFmtId="0" fontId="26" fillId="0" borderId="1" xfId="0" applyFont="1" applyBorder="1" applyAlignment="1">
      <alignment horizontal="justify" vertical="top" wrapText="1"/>
    </xf>
    <xf numFmtId="4" fontId="74" fillId="38" borderId="1" xfId="0" applyNumberFormat="1" applyFont="1" applyFill="1" applyBorder="1" applyAlignment="1">
      <alignment horizontal="center" wrapText="1"/>
    </xf>
    <xf numFmtId="4" fontId="74" fillId="46" borderId="26" xfId="0" applyNumberFormat="1" applyFont="1" applyFill="1" applyBorder="1" applyAlignment="1">
      <alignment horizontal="center" wrapText="1"/>
    </xf>
    <xf numFmtId="4" fontId="19" fillId="0" borderId="18" xfId="0" applyNumberFormat="1" applyFont="1" applyBorder="1" applyAlignment="1">
      <alignment horizontal="justify" vertical="top" wrapText="1"/>
    </xf>
    <xf numFmtId="4" fontId="19" fillId="0" borderId="18" xfId="0" applyNumberFormat="1" applyFont="1" applyBorder="1" applyAlignment="1">
      <alignment horizontal="right" wrapText="1"/>
    </xf>
    <xf numFmtId="4" fontId="21" fillId="0" borderId="23" xfId="0" applyNumberFormat="1" applyFont="1" applyBorder="1" applyAlignment="1">
      <alignment horizontal="right" wrapText="1"/>
    </xf>
    <xf numFmtId="4" fontId="19" fillId="0" borderId="0" xfId="0" applyNumberFormat="1" applyFont="1" applyAlignment="1">
      <alignment horizontal="right" wrapText="1"/>
    </xf>
    <xf numFmtId="4" fontId="21" fillId="0" borderId="1" xfId="0" applyNumberFormat="1" applyFont="1" applyBorder="1" applyAlignment="1">
      <alignment horizontal="right" vertical="top"/>
    </xf>
    <xf numFmtId="4" fontId="21" fillId="0" borderId="17" xfId="0" applyNumberFormat="1" applyFont="1" applyFill="1" applyBorder="1" applyAlignment="1">
      <alignment horizontal="center" wrapText="1"/>
    </xf>
    <xf numFmtId="4" fontId="21" fillId="0" borderId="17" xfId="0" applyNumberFormat="1" applyFont="1" applyFill="1" applyBorder="1" applyAlignment="1">
      <alignment wrapText="1"/>
    </xf>
    <xf numFmtId="4" fontId="19" fillId="0" borderId="12" xfId="0" applyNumberFormat="1" applyFont="1" applyFill="1" applyBorder="1" applyAlignment="1">
      <alignment horizontal="right" wrapText="1"/>
    </xf>
    <xf numFmtId="4" fontId="21" fillId="0" borderId="17" xfId="0" applyNumberFormat="1" applyFont="1" applyBorder="1" applyAlignment="1">
      <alignment horizontal="right" vertical="top"/>
    </xf>
    <xf numFmtId="4" fontId="21" fillId="0" borderId="19" xfId="0" applyNumberFormat="1" applyFont="1" applyFill="1" applyBorder="1" applyAlignment="1">
      <alignment horizontal="justify" vertical="top" wrapText="1"/>
    </xf>
    <xf numFmtId="4" fontId="21" fillId="34" borderId="13" xfId="0" applyNumberFormat="1" applyFont="1" applyFill="1" applyBorder="1" applyAlignment="1">
      <alignment horizontal="right" vertical="top" wrapText="1"/>
    </xf>
    <xf numFmtId="4" fontId="19" fillId="34" borderId="13" xfId="0" applyNumberFormat="1" applyFont="1" applyFill="1" applyBorder="1" applyAlignment="1">
      <alignment horizontal="justify" vertical="top" wrapText="1"/>
    </xf>
    <xf numFmtId="4" fontId="21" fillId="34" borderId="13" xfId="0" applyNumberFormat="1" applyFont="1" applyFill="1" applyBorder="1" applyAlignment="1">
      <alignment horizontal="center" wrapText="1"/>
    </xf>
    <xf numFmtId="4" fontId="21" fillId="34" borderId="13" xfId="0" applyNumberFormat="1" applyFont="1" applyFill="1" applyBorder="1" applyAlignment="1">
      <alignment wrapText="1"/>
    </xf>
    <xf numFmtId="4" fontId="19" fillId="34" borderId="13" xfId="0" applyNumberFormat="1" applyFont="1" applyFill="1" applyBorder="1" applyAlignment="1">
      <alignment horizontal="right" wrapText="1"/>
    </xf>
    <xf numFmtId="4" fontId="19" fillId="0" borderId="19" xfId="0" applyNumberFormat="1" applyFont="1" applyFill="1" applyBorder="1" applyAlignment="1">
      <alignment horizontal="justify" vertical="top" wrapText="1"/>
    </xf>
    <xf numFmtId="4" fontId="12" fillId="0" borderId="1" xfId="0" applyNumberFormat="1" applyFont="1" applyBorder="1" applyAlignment="1">
      <alignment horizontal="center" wrapText="1"/>
    </xf>
    <xf numFmtId="4" fontId="12" fillId="0" borderId="13" xfId="0" applyNumberFormat="1" applyFont="1" applyBorder="1" applyAlignment="1">
      <alignment horizontal="center" wrapText="1"/>
    </xf>
    <xf numFmtId="4" fontId="19" fillId="0" borderId="1" xfId="0" applyNumberFormat="1" applyFont="1" applyBorder="1" applyAlignment="1">
      <alignment horizontal="right" wrapText="1"/>
    </xf>
    <xf numFmtId="4" fontId="19" fillId="0" borderId="13" xfId="0" applyNumberFormat="1" applyFont="1" applyBorder="1" applyAlignment="1">
      <alignment horizontal="right" wrapText="1"/>
    </xf>
    <xf numFmtId="4" fontId="21" fillId="0" borderId="23" xfId="0" applyNumberFormat="1" applyFont="1" applyBorder="1" applyAlignment="1">
      <alignment horizontal="right" vertical="top" wrapText="1"/>
    </xf>
    <xf numFmtId="4" fontId="19" fillId="0" borderId="23" xfId="0" applyNumberFormat="1" applyFont="1" applyBorder="1" applyAlignment="1">
      <alignment horizontal="justify" vertical="top" wrapText="1"/>
    </xf>
    <xf numFmtId="4" fontId="19" fillId="0" borderId="23" xfId="0" applyNumberFormat="1" applyFont="1" applyBorder="1" applyAlignment="1">
      <alignment horizontal="right" wrapText="1"/>
    </xf>
    <xf numFmtId="4" fontId="21" fillId="0" borderId="18" xfId="0" applyNumberFormat="1" applyFont="1" applyBorder="1" applyAlignment="1">
      <alignment horizontal="right" vertical="top" wrapText="1"/>
    </xf>
    <xf numFmtId="4" fontId="19" fillId="0" borderId="15" xfId="0" applyNumberFormat="1" applyFont="1" applyFill="1" applyBorder="1" applyAlignment="1">
      <alignment horizontal="justify" vertical="top" wrapText="1"/>
    </xf>
    <xf numFmtId="4" fontId="21" fillId="0" borderId="17" xfId="0" applyNumberFormat="1" applyFont="1" applyBorder="1" applyAlignment="1">
      <alignment horizontal="right" wrapText="1"/>
    </xf>
    <xf numFmtId="4" fontId="19" fillId="0" borderId="15" xfId="0" applyNumberFormat="1" applyFont="1" applyBorder="1" applyAlignment="1">
      <alignment horizontal="right" wrapText="1"/>
    </xf>
    <xf numFmtId="4" fontId="19" fillId="0" borderId="16" xfId="0" applyNumberFormat="1" applyFont="1" applyBorder="1" applyAlignment="1">
      <alignment horizontal="justify" vertical="top" wrapText="1"/>
    </xf>
    <xf numFmtId="4" fontId="19" fillId="0" borderId="1" xfId="0" applyNumberFormat="1" applyFont="1" applyFill="1" applyBorder="1" applyAlignment="1">
      <alignment horizontal="justify" vertical="top" wrapText="1"/>
    </xf>
    <xf numFmtId="4" fontId="21" fillId="0" borderId="1" xfId="0" applyNumberFormat="1" applyFont="1" applyFill="1" applyBorder="1" applyAlignment="1">
      <alignment horizontal="right" wrapText="1"/>
    </xf>
    <xf numFmtId="4" fontId="21" fillId="0" borderId="18" xfId="0" applyNumberFormat="1" applyFont="1" applyFill="1" applyBorder="1" applyAlignment="1">
      <alignment horizontal="right" wrapText="1"/>
    </xf>
    <xf numFmtId="4" fontId="21" fillId="0" borderId="13" xfId="0" applyNumberFormat="1" applyFont="1" applyFill="1" applyBorder="1" applyAlignment="1">
      <alignment horizontal="right" vertical="top" wrapText="1"/>
    </xf>
    <xf numFmtId="4" fontId="21" fillId="0" borderId="13" xfId="0" applyNumberFormat="1" applyFont="1" applyFill="1" applyBorder="1" applyAlignment="1">
      <alignment horizontal="justify" vertical="top" wrapText="1"/>
    </xf>
    <xf numFmtId="4" fontId="21" fillId="0" borderId="13" xfId="0" applyNumberFormat="1" applyFont="1" applyFill="1" applyBorder="1" applyAlignment="1">
      <alignment horizontal="right" wrapText="1"/>
    </xf>
    <xf numFmtId="4" fontId="21" fillId="0" borderId="38" xfId="0" applyNumberFormat="1" applyFont="1" applyFill="1" applyBorder="1" applyAlignment="1">
      <alignment horizontal="right" wrapText="1"/>
    </xf>
    <xf numFmtId="4" fontId="21" fillId="0" borderId="1" xfId="0" applyNumberFormat="1" applyFont="1" applyBorder="1" applyAlignment="1">
      <alignment/>
    </xf>
    <xf numFmtId="4" fontId="19" fillId="0" borderId="1" xfId="0" applyNumberFormat="1" applyFont="1" applyBorder="1" applyAlignment="1">
      <alignment horizontal="right"/>
    </xf>
    <xf numFmtId="4" fontId="12" fillId="0" borderId="17" xfId="0" applyNumberFormat="1" applyFont="1" applyBorder="1" applyAlignment="1">
      <alignment horizontal="center" wrapText="1"/>
    </xf>
    <xf numFmtId="4" fontId="19" fillId="0" borderId="21" xfId="0" applyNumberFormat="1" applyFont="1" applyFill="1" applyBorder="1" applyAlignment="1">
      <alignment horizontal="justify" vertical="top" wrapText="1"/>
    </xf>
    <xf numFmtId="4" fontId="19" fillId="0" borderId="12" xfId="0" applyNumberFormat="1" applyFont="1" applyBorder="1" applyAlignment="1">
      <alignment horizontal="right" wrapText="1"/>
    </xf>
    <xf numFmtId="4" fontId="12" fillId="0" borderId="1" xfId="0" applyNumberFormat="1" applyFont="1" applyBorder="1" applyAlignment="1">
      <alignment horizontal="center"/>
    </xf>
    <xf numFmtId="4" fontId="12" fillId="0" borderId="13" xfId="0" applyNumberFormat="1" applyFont="1" applyBorder="1" applyAlignment="1">
      <alignment horizontal="center"/>
    </xf>
    <xf numFmtId="4" fontId="19" fillId="0" borderId="18" xfId="0" applyNumberFormat="1" applyFont="1" applyBorder="1" applyAlignment="1">
      <alignment horizontal="right"/>
    </xf>
    <xf numFmtId="4" fontId="21" fillId="0" borderId="13" xfId="0" applyNumberFormat="1" applyFont="1" applyBorder="1" applyAlignment="1">
      <alignment/>
    </xf>
    <xf numFmtId="4" fontId="19" fillId="0" borderId="38" xfId="0" applyNumberFormat="1" applyFont="1" applyBorder="1" applyAlignment="1">
      <alignment horizontal="right"/>
    </xf>
    <xf numFmtId="4" fontId="21" fillId="0" borderId="18" xfId="0" applyNumberFormat="1" applyFont="1" applyBorder="1" applyAlignment="1">
      <alignment horizontal="justify" vertical="top" wrapText="1"/>
    </xf>
    <xf numFmtId="4" fontId="12" fillId="34" borderId="1" xfId="0" applyNumberFormat="1" applyFont="1" applyFill="1" applyBorder="1" applyAlignment="1">
      <alignment horizontal="center" wrapText="1"/>
    </xf>
    <xf numFmtId="4" fontId="21" fillId="0" borderId="1" xfId="0" applyNumberFormat="1" applyFont="1" applyBorder="1" applyAlignment="1">
      <alignment horizontal="justify" vertical="top" wrapText="1"/>
    </xf>
    <xf numFmtId="4" fontId="12" fillId="34" borderId="13" xfId="0" applyNumberFormat="1" applyFont="1" applyFill="1" applyBorder="1" applyAlignment="1">
      <alignment horizontal="center" wrapText="1"/>
    </xf>
    <xf numFmtId="4" fontId="19" fillId="0" borderId="23" xfId="0" applyNumberFormat="1" applyFont="1" applyFill="1" applyBorder="1" applyAlignment="1">
      <alignment horizontal="justify" vertical="top" wrapText="1"/>
    </xf>
    <xf numFmtId="4" fontId="21" fillId="34" borderId="13" xfId="0" applyNumberFormat="1" applyFont="1" applyFill="1" applyBorder="1" applyAlignment="1">
      <alignment horizontal="right" wrapText="1"/>
    </xf>
    <xf numFmtId="4" fontId="19" fillId="34" borderId="38" xfId="0" applyNumberFormat="1" applyFont="1" applyFill="1" applyBorder="1" applyAlignment="1">
      <alignment horizontal="right" wrapText="1"/>
    </xf>
    <xf numFmtId="4" fontId="19" fillId="34" borderId="42" xfId="0" applyNumberFormat="1" applyFont="1" applyFill="1" applyBorder="1" applyAlignment="1">
      <alignment horizontal="justify" vertical="top" wrapText="1"/>
    </xf>
    <xf numFmtId="4" fontId="12" fillId="0" borderId="23" xfId="0" applyNumberFormat="1" applyFont="1" applyBorder="1" applyAlignment="1">
      <alignment horizontal="center" wrapText="1"/>
    </xf>
    <xf numFmtId="4" fontId="9" fillId="0" borderId="18" xfId="0" applyNumberFormat="1" applyFont="1" applyFill="1" applyBorder="1" applyAlignment="1">
      <alignment horizontal="right" vertical="top" wrapText="1"/>
    </xf>
    <xf numFmtId="4" fontId="9" fillId="0" borderId="20" xfId="0" applyNumberFormat="1" applyFont="1" applyFill="1" applyBorder="1" applyAlignment="1">
      <alignment horizontal="justify" vertical="top" wrapText="1"/>
    </xf>
    <xf numFmtId="4" fontId="12" fillId="0" borderId="0" xfId="0" applyNumberFormat="1" applyFont="1" applyBorder="1" applyAlignment="1">
      <alignment vertical="top"/>
    </xf>
    <xf numFmtId="4" fontId="21" fillId="35" borderId="14" xfId="0" applyNumberFormat="1" applyFont="1" applyFill="1" applyBorder="1" applyAlignment="1">
      <alignment horizontal="right" vertical="top" wrapText="1"/>
    </xf>
    <xf numFmtId="4" fontId="21" fillId="36" borderId="0" xfId="0" applyNumberFormat="1" applyFont="1" applyFill="1" applyBorder="1" applyAlignment="1">
      <alignment horizontal="right" vertical="top" wrapText="1"/>
    </xf>
    <xf numFmtId="4" fontId="21" fillId="44" borderId="26" xfId="0" applyNumberFormat="1" applyFont="1" applyFill="1" applyBorder="1" applyAlignment="1">
      <alignment horizontal="right" vertical="top" wrapText="1"/>
    </xf>
    <xf numFmtId="4" fontId="21" fillId="0" borderId="43" xfId="0" applyNumberFormat="1" applyFont="1" applyBorder="1" applyAlignment="1">
      <alignment horizontal="right" vertical="top" wrapText="1"/>
    </xf>
    <xf numFmtId="4" fontId="21" fillId="4" borderId="31" xfId="0" applyNumberFormat="1" applyFont="1" applyFill="1" applyBorder="1" applyAlignment="1">
      <alignment horizontal="right" vertical="top" wrapText="1"/>
    </xf>
    <xf numFmtId="4" fontId="21" fillId="37" borderId="25" xfId="0" applyNumberFormat="1" applyFont="1" applyFill="1" applyBorder="1" applyAlignment="1">
      <alignment horizontal="right" vertical="top" wrapText="1"/>
    </xf>
    <xf numFmtId="4" fontId="21" fillId="45" borderId="31" xfId="0" applyNumberFormat="1" applyFont="1" applyFill="1" applyBorder="1" applyAlignment="1">
      <alignment horizontal="right" vertical="top" wrapText="1"/>
    </xf>
    <xf numFmtId="4" fontId="21" fillId="40" borderId="26" xfId="0" applyNumberFormat="1" applyFont="1" applyFill="1" applyBorder="1" applyAlignment="1">
      <alignment horizontal="right" vertical="top" wrapText="1"/>
    </xf>
    <xf numFmtId="4" fontId="21" fillId="31" borderId="22" xfId="0" applyNumberFormat="1" applyFont="1" applyFill="1" applyBorder="1" applyAlignment="1">
      <alignment horizontal="right" vertical="top" wrapText="1"/>
    </xf>
    <xf numFmtId="4" fontId="21" fillId="0" borderId="1" xfId="56" applyNumberFormat="1" applyFont="1" applyBorder="1" applyAlignment="1">
      <alignment horizontal="right" vertical="top" wrapText="1"/>
      <protection/>
    </xf>
    <xf numFmtId="4" fontId="21" fillId="0" borderId="18" xfId="56" applyNumberFormat="1" applyFont="1" applyBorder="1" applyAlignment="1">
      <alignment horizontal="right" vertical="top" wrapText="1"/>
      <protection/>
    </xf>
    <xf numFmtId="4" fontId="21" fillId="41" borderId="0" xfId="0" applyNumberFormat="1" applyFont="1" applyFill="1" applyBorder="1" applyAlignment="1">
      <alignment horizontal="right" vertical="top" wrapText="1"/>
    </xf>
    <xf numFmtId="4" fontId="21" fillId="0" borderId="0" xfId="0" applyNumberFormat="1" applyFont="1" applyAlignment="1">
      <alignment horizontal="right" vertical="top" wrapText="1"/>
    </xf>
    <xf numFmtId="4" fontId="21" fillId="0" borderId="17" xfId="61" applyNumberFormat="1" applyFont="1" applyFill="1" applyBorder="1" applyAlignment="1">
      <alignment horizontal="right" vertical="top" wrapText="1"/>
      <protection/>
    </xf>
    <xf numFmtId="4" fontId="21" fillId="0" borderId="17" xfId="0" applyNumberFormat="1" applyFont="1" applyBorder="1" applyAlignment="1">
      <alignment horizontal="right" vertical="top" wrapText="1"/>
    </xf>
    <xf numFmtId="4" fontId="21" fillId="0" borderId="21" xfId="0" applyNumberFormat="1" applyFont="1" applyBorder="1" applyAlignment="1">
      <alignment horizontal="right" vertical="top" wrapText="1"/>
    </xf>
    <xf numFmtId="4" fontId="21" fillId="46" borderId="39" xfId="0" applyNumberFormat="1" applyFont="1" applyFill="1" applyBorder="1" applyAlignment="1">
      <alignment horizontal="right" vertical="top" wrapText="1"/>
    </xf>
    <xf numFmtId="4" fontId="21" fillId="0" borderId="16" xfId="0" applyNumberFormat="1" applyFont="1" applyBorder="1" applyAlignment="1">
      <alignment horizontal="right" vertical="top"/>
    </xf>
    <xf numFmtId="4" fontId="21" fillId="0" borderId="44" xfId="0" applyNumberFormat="1" applyFont="1" applyBorder="1" applyAlignment="1">
      <alignment horizontal="right" vertical="top"/>
    </xf>
    <xf numFmtId="4" fontId="21" fillId="0" borderId="15" xfId="0" applyNumberFormat="1" applyFont="1" applyBorder="1" applyAlignment="1">
      <alignment horizontal="right" vertical="top"/>
    </xf>
    <xf numFmtId="4" fontId="21" fillId="31" borderId="39" xfId="0" applyNumberFormat="1" applyFont="1" applyFill="1" applyBorder="1" applyAlignment="1">
      <alignment horizontal="right" vertical="top"/>
    </xf>
    <xf numFmtId="4" fontId="21" fillId="0" borderId="45" xfId="0" applyNumberFormat="1" applyFont="1" applyBorder="1" applyAlignment="1">
      <alignment horizontal="right" vertical="top" wrapText="1"/>
    </xf>
    <xf numFmtId="4" fontId="21" fillId="31" borderId="39" xfId="0" applyNumberFormat="1" applyFont="1" applyFill="1" applyBorder="1" applyAlignment="1">
      <alignment horizontal="right" vertical="top" wrapText="1"/>
    </xf>
    <xf numFmtId="4" fontId="21" fillId="0" borderId="25" xfId="0" applyNumberFormat="1" applyFont="1" applyBorder="1" applyAlignment="1">
      <alignment horizontal="right" vertical="top" wrapText="1"/>
    </xf>
    <xf numFmtId="4" fontId="21" fillId="31" borderId="26" xfId="0" applyNumberFormat="1" applyFont="1" applyFill="1" applyBorder="1" applyAlignment="1">
      <alignment horizontal="right" vertical="top" wrapText="1"/>
    </xf>
    <xf numFmtId="4" fontId="33" fillId="0" borderId="21" xfId="0" applyNumberFormat="1" applyFont="1" applyBorder="1" applyAlignment="1">
      <alignment/>
    </xf>
    <xf numFmtId="4" fontId="33" fillId="0" borderId="0" xfId="0" applyNumberFormat="1" applyFont="1" applyBorder="1" applyAlignment="1">
      <alignment/>
    </xf>
    <xf numFmtId="4" fontId="33" fillId="0" borderId="19" xfId="0" applyNumberFormat="1" applyFont="1" applyBorder="1" applyAlignment="1">
      <alignment/>
    </xf>
    <xf numFmtId="0" fontId="0" fillId="0" borderId="1" xfId="0" applyFont="1" applyBorder="1" applyAlignment="1">
      <alignment/>
    </xf>
    <xf numFmtId="4" fontId="19" fillId="0" borderId="0" xfId="0" applyNumberFormat="1" applyFont="1" applyFill="1" applyBorder="1" applyAlignment="1">
      <alignment horizontal="justify" vertical="top" wrapText="1"/>
    </xf>
    <xf numFmtId="4" fontId="21" fillId="0" borderId="45" xfId="0" applyNumberFormat="1" applyFont="1" applyFill="1" applyBorder="1" applyAlignment="1">
      <alignment wrapText="1"/>
    </xf>
    <xf numFmtId="4" fontId="19" fillId="0" borderId="46" xfId="0" applyNumberFormat="1" applyFont="1" applyFill="1" applyBorder="1" applyAlignment="1">
      <alignment horizontal="right" wrapText="1"/>
    </xf>
    <xf numFmtId="4" fontId="12" fillId="0" borderId="0" xfId="0" applyNumberFormat="1" applyFont="1" applyBorder="1" applyAlignment="1">
      <alignment horizontal="center" wrapText="1"/>
    </xf>
    <xf numFmtId="4" fontId="12" fillId="35" borderId="14" xfId="0" applyNumberFormat="1" applyFont="1" applyFill="1" applyBorder="1" applyAlignment="1">
      <alignment horizontal="center" wrapText="1"/>
    </xf>
    <xf numFmtId="4" fontId="12" fillId="36" borderId="0" xfId="0" applyNumberFormat="1" applyFont="1" applyFill="1" applyBorder="1" applyAlignment="1">
      <alignment horizontal="center" wrapText="1"/>
    </xf>
    <xf numFmtId="4" fontId="12" fillId="44" borderId="26" xfId="0" applyNumberFormat="1" applyFont="1" applyFill="1" applyBorder="1" applyAlignment="1">
      <alignment horizontal="center" wrapText="1"/>
    </xf>
    <xf numFmtId="4" fontId="12" fillId="4" borderId="31" xfId="0" applyNumberFormat="1" applyFont="1" applyFill="1" applyBorder="1" applyAlignment="1">
      <alignment horizontal="center" wrapText="1"/>
    </xf>
    <xf numFmtId="4" fontId="12" fillId="23" borderId="14" xfId="0" applyNumberFormat="1" applyFont="1" applyFill="1" applyBorder="1" applyAlignment="1">
      <alignment horizontal="center" wrapText="1"/>
    </xf>
    <xf numFmtId="4" fontId="12" fillId="37" borderId="25" xfId="0" applyNumberFormat="1" applyFont="1" applyFill="1" applyBorder="1" applyAlignment="1">
      <alignment horizontal="center" wrapText="1"/>
    </xf>
    <xf numFmtId="4" fontId="12" fillId="0" borderId="1" xfId="0" applyNumberFormat="1" applyFont="1" applyFill="1" applyBorder="1" applyAlignment="1">
      <alignment horizontal="center" wrapText="1"/>
    </xf>
    <xf numFmtId="4" fontId="12" fillId="0" borderId="26" xfId="0" applyNumberFormat="1" applyFont="1" applyFill="1" applyBorder="1" applyAlignment="1">
      <alignment horizontal="center" wrapText="1"/>
    </xf>
    <xf numFmtId="4" fontId="12" fillId="45" borderId="31" xfId="0" applyNumberFormat="1" applyFont="1" applyFill="1" applyBorder="1" applyAlignment="1">
      <alignment horizontal="center" wrapText="1"/>
    </xf>
    <xf numFmtId="4" fontId="12" fillId="0" borderId="0" xfId="0" applyNumberFormat="1" applyFont="1" applyFill="1" applyBorder="1" applyAlignment="1">
      <alignment horizontal="center" wrapText="1"/>
    </xf>
    <xf numFmtId="4" fontId="12" fillId="23" borderId="1" xfId="0" applyNumberFormat="1" applyFont="1" applyFill="1" applyBorder="1" applyAlignment="1">
      <alignment horizontal="center" wrapText="1"/>
    </xf>
    <xf numFmtId="4" fontId="12" fillId="38" borderId="1" xfId="0" applyNumberFormat="1" applyFont="1" applyFill="1" applyBorder="1" applyAlignment="1">
      <alignment horizontal="center" wrapText="1"/>
    </xf>
    <xf numFmtId="4" fontId="12" fillId="39" borderId="14" xfId="0" applyNumberFormat="1" applyFont="1" applyFill="1" applyBorder="1" applyAlignment="1">
      <alignment horizontal="center" wrapText="1"/>
    </xf>
    <xf numFmtId="4" fontId="12" fillId="0" borderId="25" xfId="0" applyNumberFormat="1" applyFont="1" applyFill="1" applyBorder="1" applyAlignment="1">
      <alignment horizontal="center" wrapText="1"/>
    </xf>
    <xf numFmtId="4" fontId="12" fillId="46" borderId="14" xfId="0" applyNumberFormat="1" applyFont="1" applyFill="1" applyBorder="1" applyAlignment="1">
      <alignment horizontal="center" wrapText="1"/>
    </xf>
    <xf numFmtId="4" fontId="12" fillId="7" borderId="14" xfId="0" applyNumberFormat="1" applyFont="1" applyFill="1" applyBorder="1" applyAlignment="1">
      <alignment horizontal="center" wrapText="1"/>
    </xf>
    <xf numFmtId="4" fontId="12" fillId="40" borderId="26" xfId="0" applyNumberFormat="1" applyFont="1" applyFill="1" applyBorder="1" applyAlignment="1">
      <alignment horizontal="center" wrapText="1"/>
    </xf>
    <xf numFmtId="4" fontId="12" fillId="31" borderId="22" xfId="0" applyNumberFormat="1" applyFont="1" applyFill="1" applyBorder="1" applyAlignment="1">
      <alignment horizontal="center" wrapText="1"/>
    </xf>
    <xf numFmtId="4" fontId="12" fillId="0" borderId="17" xfId="0" applyNumberFormat="1" applyFont="1" applyFill="1" applyBorder="1" applyAlignment="1">
      <alignment horizontal="center" wrapText="1"/>
    </xf>
    <xf numFmtId="4" fontId="12" fillId="0" borderId="12" xfId="0" applyNumberFormat="1" applyFont="1" applyFill="1" applyBorder="1" applyAlignment="1">
      <alignment horizontal="center" wrapText="1"/>
    </xf>
    <xf numFmtId="4" fontId="12" fillId="31" borderId="14" xfId="0" applyNumberFormat="1" applyFont="1" applyFill="1" applyBorder="1" applyAlignment="1">
      <alignment horizontal="center" wrapText="1"/>
    </xf>
    <xf numFmtId="4" fontId="12" fillId="41" borderId="0" xfId="0" applyNumberFormat="1" applyFont="1" applyFill="1" applyBorder="1" applyAlignment="1">
      <alignment horizontal="center" wrapText="1"/>
    </xf>
    <xf numFmtId="4" fontId="12" fillId="46" borderId="26" xfId="0" applyNumberFormat="1" applyFont="1" applyFill="1" applyBorder="1" applyAlignment="1">
      <alignment horizontal="center" wrapText="1"/>
    </xf>
    <xf numFmtId="4" fontId="12" fillId="34" borderId="23" xfId="0" applyNumberFormat="1" applyFont="1" applyFill="1" applyBorder="1" applyAlignment="1">
      <alignment horizontal="center" wrapText="1"/>
    </xf>
    <xf numFmtId="4" fontId="12" fillId="0" borderId="13" xfId="0" applyNumberFormat="1" applyFont="1" applyFill="1" applyBorder="1" applyAlignment="1">
      <alignment horizontal="center" wrapText="1"/>
    </xf>
    <xf numFmtId="4" fontId="12" fillId="0" borderId="21" xfId="0" applyNumberFormat="1" applyFont="1" applyBorder="1" applyAlignment="1">
      <alignment horizontal="center" wrapText="1"/>
    </xf>
    <xf numFmtId="4" fontId="34" fillId="0" borderId="21" xfId="0" applyNumberFormat="1" applyFont="1" applyBorder="1" applyAlignment="1">
      <alignment/>
    </xf>
    <xf numFmtId="4" fontId="34" fillId="0" borderId="0" xfId="0" applyNumberFormat="1" applyFont="1" applyBorder="1" applyAlignment="1">
      <alignment/>
    </xf>
    <xf numFmtId="4" fontId="34" fillId="0" borderId="19" xfId="0" applyNumberFormat="1" applyFont="1" applyBorder="1" applyAlignment="1">
      <alignment/>
    </xf>
    <xf numFmtId="4" fontId="12" fillId="0" borderId="0" xfId="0" applyNumberFormat="1" applyFont="1" applyBorder="1" applyAlignment="1">
      <alignment horizontal="center"/>
    </xf>
    <xf numFmtId="4" fontId="12" fillId="0" borderId="17" xfId="0" applyNumberFormat="1" applyFont="1" applyBorder="1" applyAlignment="1">
      <alignment horizontal="center"/>
    </xf>
    <xf numFmtId="4" fontId="12" fillId="0" borderId="0" xfId="0" applyNumberFormat="1" applyFont="1" applyAlignment="1">
      <alignment horizontal="center" wrapText="1"/>
    </xf>
    <xf numFmtId="4" fontId="12" fillId="31" borderId="26" xfId="0" applyNumberFormat="1" applyFont="1" applyFill="1" applyBorder="1" applyAlignment="1">
      <alignment horizontal="center" wrapText="1"/>
    </xf>
    <xf numFmtId="4" fontId="12" fillId="0" borderId="1" xfId="0" applyNumberFormat="1" applyFont="1" applyBorder="1" applyAlignment="1">
      <alignment horizontal="justify" vertical="top" wrapText="1"/>
    </xf>
    <xf numFmtId="0" fontId="21" fillId="0" borderId="16" xfId="0" applyFont="1" applyFill="1" applyBorder="1" applyAlignment="1">
      <alignment horizontal="justify" vertical="top" wrapText="1"/>
    </xf>
    <xf numFmtId="4" fontId="35" fillId="0" borderId="21" xfId="0" applyNumberFormat="1" applyFont="1" applyBorder="1" applyAlignment="1">
      <alignment/>
    </xf>
    <xf numFmtId="4" fontId="0" fillId="0" borderId="23" xfId="0" applyNumberFormat="1" applyFont="1" applyBorder="1" applyAlignment="1">
      <alignment/>
    </xf>
    <xf numFmtId="4" fontId="0" fillId="0" borderId="45" xfId="0" applyNumberFormat="1" applyFont="1" applyBorder="1" applyAlignment="1">
      <alignment/>
    </xf>
    <xf numFmtId="4" fontId="0" fillId="0" borderId="17" xfId="0" applyNumberFormat="1" applyFont="1" applyBorder="1" applyAlignment="1">
      <alignment/>
    </xf>
    <xf numFmtId="4" fontId="10" fillId="23" borderId="14" xfId="0" applyNumberFormat="1" applyFont="1" applyFill="1" applyBorder="1" applyAlignment="1">
      <alignment horizontal="right" vertical="top" wrapText="1"/>
    </xf>
    <xf numFmtId="4" fontId="9" fillId="0" borderId="1" xfId="0" applyNumberFormat="1" applyFont="1" applyFill="1" applyBorder="1" applyAlignment="1">
      <alignment horizontal="right" vertical="top" wrapText="1"/>
    </xf>
    <xf numFmtId="4" fontId="9" fillId="0" borderId="26" xfId="0" applyNumberFormat="1" applyFont="1" applyFill="1" applyBorder="1" applyAlignment="1">
      <alignment horizontal="right" vertical="top" wrapText="1"/>
    </xf>
    <xf numFmtId="4" fontId="20" fillId="7" borderId="14" xfId="0" applyNumberFormat="1" applyFont="1" applyFill="1" applyBorder="1" applyAlignment="1">
      <alignment horizontal="right" vertical="top" wrapText="1"/>
    </xf>
    <xf numFmtId="0" fontId="39" fillId="0" borderId="1" xfId="0" applyFont="1" applyBorder="1" applyAlignment="1">
      <alignment/>
    </xf>
    <xf numFmtId="4" fontId="19" fillId="0" borderId="1" xfId="0" applyNumberFormat="1" applyFont="1" applyBorder="1" applyAlignment="1">
      <alignment vertical="distributed"/>
    </xf>
    <xf numFmtId="0" fontId="0" fillId="0" borderId="1" xfId="0" applyBorder="1" applyAlignment="1">
      <alignment/>
    </xf>
    <xf numFmtId="4" fontId="37" fillId="0" borderId="1" xfId="0" applyNumberFormat="1" applyFont="1" applyBorder="1" applyAlignment="1">
      <alignment horizontal="justify" vertical="top" wrapText="1"/>
    </xf>
    <xf numFmtId="0" fontId="37" fillId="0" borderId="1" xfId="0" applyFont="1" applyBorder="1" applyAlignment="1">
      <alignment horizontal="justify" vertical="top" wrapText="1"/>
    </xf>
    <xf numFmtId="0" fontId="39" fillId="0" borderId="1" xfId="0" applyFont="1" applyBorder="1" applyAlignment="1">
      <alignment horizontal="justify" vertical="top" wrapText="1"/>
    </xf>
    <xf numFmtId="0" fontId="19" fillId="0" borderId="1" xfId="0" applyFont="1" applyBorder="1" applyAlignment="1">
      <alignment horizontal="justify" vertical="top" wrapText="1"/>
    </xf>
    <xf numFmtId="0" fontId="39" fillId="0" borderId="1" xfId="0" applyFont="1" applyBorder="1" applyAlignment="1">
      <alignment horizontal="justify" vertical="top" wrapText="1"/>
    </xf>
    <xf numFmtId="0" fontId="40" fillId="0" borderId="1" xfId="0" applyFont="1" applyBorder="1" applyAlignment="1">
      <alignment horizontal="justify" vertical="top" wrapText="1"/>
    </xf>
    <xf numFmtId="0" fontId="39" fillId="0" borderId="0" xfId="0" applyFont="1" applyFill="1" applyAlignment="1">
      <alignment horizontal="right" vertical="top" wrapText="1"/>
    </xf>
    <xf numFmtId="0" fontId="39" fillId="0" borderId="0" xfId="0" applyFont="1" applyAlignment="1">
      <alignment horizontal="right" vertical="top" wrapText="1"/>
    </xf>
    <xf numFmtId="0" fontId="39" fillId="0" borderId="1" xfId="0" applyFont="1" applyFill="1" applyBorder="1" applyAlignment="1">
      <alignment horizontal="justify" vertical="top" wrapText="1"/>
    </xf>
    <xf numFmtId="49" fontId="19" fillId="0" borderId="1" xfId="0" applyNumberFormat="1" applyFont="1" applyBorder="1" applyAlignment="1">
      <alignment horizontal="justify" vertical="top" wrapText="1"/>
    </xf>
    <xf numFmtId="4" fontId="19" fillId="0" borderId="40" xfId="0" applyNumberFormat="1" applyFont="1" applyBorder="1" applyAlignment="1">
      <alignment horizontal="justify" vertical="top" wrapText="1"/>
    </xf>
    <xf numFmtId="4" fontId="20" fillId="46" borderId="26" xfId="0" applyNumberFormat="1" applyFont="1" applyFill="1" applyBorder="1" applyAlignment="1">
      <alignment horizontal="right" vertical="top" wrapText="1"/>
    </xf>
    <xf numFmtId="4" fontId="20" fillId="31" borderId="39" xfId="0" applyNumberFormat="1" applyFont="1" applyFill="1" applyBorder="1" applyAlignment="1">
      <alignment horizontal="right" vertical="top"/>
    </xf>
    <xf numFmtId="4" fontId="20" fillId="31" borderId="14" xfId="0" applyNumberFormat="1" applyFont="1" applyFill="1" applyBorder="1" applyAlignment="1">
      <alignment horizontal="right" vertical="top" wrapText="1"/>
    </xf>
    <xf numFmtId="4" fontId="0" fillId="0" borderId="47" xfId="0" applyNumberFormat="1" applyBorder="1" applyAlignment="1">
      <alignment vertical="distributed"/>
    </xf>
    <xf numFmtId="37" fontId="19" fillId="0" borderId="1" xfId="0" applyNumberFormat="1" applyFont="1" applyBorder="1" applyAlignment="1">
      <alignment horizontal="justify" vertical="top" wrapText="1"/>
    </xf>
    <xf numFmtId="4" fontId="19" fillId="0" borderId="16" xfId="0" applyNumberFormat="1" applyFont="1" applyBorder="1" applyAlignment="1">
      <alignment horizontal="justify" vertical="top" wrapText="1"/>
    </xf>
    <xf numFmtId="4" fontId="12" fillId="0" borderId="23" xfId="0" applyNumberFormat="1" applyFont="1" applyBorder="1" applyAlignment="1">
      <alignment horizontal="center"/>
    </xf>
    <xf numFmtId="4" fontId="21" fillId="0" borderId="23" xfId="0" applyNumberFormat="1" applyFont="1" applyBorder="1" applyAlignment="1">
      <alignment/>
    </xf>
    <xf numFmtId="4" fontId="19" fillId="0" borderId="20" xfId="0" applyNumberFormat="1" applyFont="1" applyFill="1" applyBorder="1" applyAlignment="1">
      <alignment horizontal="justify" vertical="top" wrapText="1"/>
    </xf>
    <xf numFmtId="4" fontId="21" fillId="0" borderId="19" xfId="56" applyNumberFormat="1" applyFont="1" applyBorder="1" applyAlignment="1">
      <alignment horizontal="justify" vertical="top" wrapText="1"/>
      <protection/>
    </xf>
    <xf numFmtId="4" fontId="20" fillId="31" borderId="39" xfId="0" applyNumberFormat="1" applyFont="1" applyFill="1" applyBorder="1" applyAlignment="1">
      <alignment horizontal="right" vertical="top" wrapText="1"/>
    </xf>
    <xf numFmtId="4" fontId="19" fillId="0" borderId="1" xfId="0" applyNumberFormat="1" applyFont="1" applyBorder="1" applyAlignment="1">
      <alignment horizontal="justify" vertical="top" wrapText="1"/>
    </xf>
    <xf numFmtId="4" fontId="19" fillId="0" borderId="18" xfId="0" applyNumberFormat="1" applyFont="1" applyBorder="1" applyAlignment="1">
      <alignment horizontal="justify" vertical="top" wrapText="1"/>
    </xf>
    <xf numFmtId="4" fontId="19" fillId="0" borderId="19" xfId="0" applyNumberFormat="1" applyFont="1" applyFill="1" applyBorder="1" applyAlignment="1">
      <alignment horizontal="justify" vertical="top" wrapText="1"/>
    </xf>
    <xf numFmtId="4" fontId="36" fillId="0" borderId="16" xfId="0" applyNumberFormat="1" applyFont="1" applyBorder="1" applyAlignment="1">
      <alignment horizontal="justify" vertical="top" wrapText="1"/>
    </xf>
    <xf numFmtId="4" fontId="38" fillId="0" borderId="0" xfId="0" applyNumberFormat="1" applyFont="1" applyFill="1" applyAlignment="1">
      <alignment horizontal="right"/>
    </xf>
    <xf numFmtId="4" fontId="38" fillId="0" borderId="0" xfId="0" applyNumberFormat="1" applyFont="1" applyFill="1" applyAlignment="1">
      <alignment vertical="top" wrapText="1"/>
    </xf>
    <xf numFmtId="4" fontId="19" fillId="0" borderId="0" xfId="0" applyNumberFormat="1" applyFont="1" applyAlignment="1">
      <alignment/>
    </xf>
    <xf numFmtId="4" fontId="21" fillId="0" borderId="0" xfId="63" applyNumberFormat="1" applyFont="1" applyAlignment="1">
      <alignment/>
      <protection/>
    </xf>
    <xf numFmtId="4" fontId="19" fillId="0" borderId="0" xfId="63" applyNumberFormat="1" applyFont="1" applyAlignment="1">
      <alignment horizontal="right"/>
      <protection/>
    </xf>
    <xf numFmtId="4" fontId="19" fillId="0" borderId="0" xfId="63" applyNumberFormat="1" applyFont="1" applyAlignment="1">
      <alignment/>
      <protection/>
    </xf>
    <xf numFmtId="4" fontId="19" fillId="0" borderId="0" xfId="0" applyNumberFormat="1" applyFont="1" applyFill="1" applyBorder="1" applyAlignment="1">
      <alignment horizontal="center"/>
    </xf>
    <xf numFmtId="4" fontId="21" fillId="48" borderId="1" xfId="52" applyNumberFormat="1" applyFont="1" applyFill="1" applyBorder="1" applyAlignment="1">
      <alignment horizontal="right"/>
      <protection/>
    </xf>
    <xf numFmtId="4" fontId="21" fillId="0" borderId="0" xfId="63" applyNumberFormat="1" applyFont="1" applyAlignment="1">
      <alignment vertical="top" wrapText="1"/>
      <protection/>
    </xf>
    <xf numFmtId="4" fontId="19" fillId="0" borderId="0" xfId="63" applyNumberFormat="1" applyFont="1" applyAlignment="1">
      <alignment vertical="top" wrapText="1"/>
      <protection/>
    </xf>
    <xf numFmtId="4" fontId="19" fillId="0" borderId="0" xfId="0" applyNumberFormat="1" applyFont="1" applyAlignment="1">
      <alignment vertical="top"/>
    </xf>
    <xf numFmtId="4" fontId="72" fillId="0" borderId="0" xfId="63" applyNumberFormat="1" applyFont="1" applyAlignment="1">
      <alignment vertical="top" wrapText="1"/>
      <protection/>
    </xf>
    <xf numFmtId="4" fontId="19" fillId="0" borderId="1" xfId="63" applyNumberFormat="1" applyFont="1" applyBorder="1" applyAlignment="1">
      <alignment vertical="top" wrapText="1"/>
      <protection/>
    </xf>
    <xf numFmtId="4" fontId="19" fillId="0" borderId="1" xfId="63" applyNumberFormat="1" applyFont="1" applyBorder="1" applyAlignment="1">
      <alignment/>
      <protection/>
    </xf>
    <xf numFmtId="4" fontId="19" fillId="0" borderId="23" xfId="63" applyNumberFormat="1" applyFont="1" applyBorder="1" applyAlignment="1">
      <alignment vertical="top" wrapText="1"/>
      <protection/>
    </xf>
    <xf numFmtId="4" fontId="19" fillId="0" borderId="23" xfId="63" applyNumberFormat="1" applyFont="1" applyBorder="1" applyAlignment="1">
      <alignment/>
      <protection/>
    </xf>
    <xf numFmtId="4" fontId="19" fillId="0" borderId="17" xfId="63" applyNumberFormat="1" applyFont="1" applyBorder="1" applyAlignment="1">
      <alignment vertical="top" wrapText="1"/>
      <protection/>
    </xf>
    <xf numFmtId="4" fontId="19" fillId="0" borderId="17" xfId="63" applyNumberFormat="1" applyFont="1" applyBorder="1" applyAlignment="1">
      <alignment/>
      <protection/>
    </xf>
    <xf numFmtId="4" fontId="21" fillId="0" borderId="48" xfId="63" applyNumberFormat="1" applyFont="1" applyBorder="1" applyAlignment="1">
      <alignment/>
      <protection/>
    </xf>
    <xf numFmtId="4" fontId="21" fillId="0" borderId="48" xfId="63" applyNumberFormat="1" applyFont="1" applyBorder="1" applyAlignment="1">
      <alignment horizontal="left"/>
      <protection/>
    </xf>
    <xf numFmtId="4" fontId="21" fillId="0" borderId="48" xfId="63" applyNumberFormat="1" applyFont="1" applyBorder="1" applyAlignment="1">
      <alignment horizontal="right"/>
      <protection/>
    </xf>
    <xf numFmtId="4" fontId="21" fillId="0" borderId="0" xfId="63" applyNumberFormat="1" applyFont="1" applyAlignment="1">
      <alignment horizontal="right"/>
      <protection/>
    </xf>
    <xf numFmtId="4" fontId="19" fillId="0" borderId="17" xfId="63" applyNumberFormat="1" applyFont="1" applyBorder="1" applyAlignment="1">
      <alignment horizontal="right"/>
      <protection/>
    </xf>
    <xf numFmtId="4" fontId="19" fillId="0" borderId="1" xfId="63" applyNumberFormat="1" applyFont="1" applyFill="1" applyBorder="1" applyAlignment="1">
      <alignment horizontal="right"/>
      <protection/>
    </xf>
    <xf numFmtId="4" fontId="19" fillId="0" borderId="1" xfId="63" applyNumberFormat="1" applyFont="1" applyBorder="1" applyAlignment="1">
      <alignment horizontal="right"/>
      <protection/>
    </xf>
    <xf numFmtId="4" fontId="19" fillId="0" borderId="23" xfId="63" applyNumberFormat="1" applyFont="1" applyBorder="1" applyAlignment="1">
      <alignment horizontal="right"/>
      <protection/>
    </xf>
    <xf numFmtId="4" fontId="19" fillId="0" borderId="0" xfId="62" applyNumberFormat="1" applyFont="1" applyFill="1" applyAlignment="1">
      <alignment horizontal="right"/>
      <protection/>
    </xf>
    <xf numFmtId="4" fontId="19" fillId="0" borderId="0" xfId="0" applyNumberFormat="1" applyFont="1" applyAlignment="1">
      <alignment horizontal="right"/>
    </xf>
    <xf numFmtId="4" fontId="21" fillId="23" borderId="14" xfId="0" applyNumberFormat="1" applyFont="1" applyFill="1" applyBorder="1" applyAlignment="1">
      <alignment horizontal="right" wrapText="1"/>
    </xf>
    <xf numFmtId="0" fontId="36" fillId="0" borderId="0" xfId="0" applyFont="1" applyFill="1" applyAlignment="1">
      <alignment horizontal="justify" vertical="top" wrapText="1"/>
    </xf>
    <xf numFmtId="0" fontId="12" fillId="0" borderId="0" xfId="0" applyFont="1" applyFill="1" applyBorder="1" applyAlignment="1">
      <alignment horizontal="justify" vertical="top" wrapText="1"/>
    </xf>
    <xf numFmtId="0" fontId="12" fillId="0" borderId="22" xfId="0" applyFont="1" applyFill="1" applyBorder="1" applyAlignment="1">
      <alignment horizontal="justify" vertical="top" wrapText="1"/>
    </xf>
    <xf numFmtId="4" fontId="36" fillId="0" borderId="0" xfId="0" applyNumberFormat="1" applyFont="1" applyFill="1" applyAlignment="1" applyProtection="1">
      <alignment horizontal="justify" vertical="top" wrapText="1"/>
      <protection locked="0"/>
    </xf>
    <xf numFmtId="4" fontId="36" fillId="0" borderId="0" xfId="0" applyNumberFormat="1" applyFont="1" applyFill="1" applyBorder="1" applyAlignment="1" applyProtection="1">
      <alignment horizontal="justify" vertical="top" wrapText="1"/>
      <protection/>
    </xf>
    <xf numFmtId="4" fontId="36" fillId="0" borderId="47" xfId="0" applyNumberFormat="1" applyFont="1" applyFill="1" applyBorder="1" applyAlignment="1" applyProtection="1">
      <alignment horizontal="justify" vertical="top" wrapText="1"/>
      <protection/>
    </xf>
    <xf numFmtId="4" fontId="36" fillId="0" borderId="47" xfId="0" applyNumberFormat="1" applyFont="1" applyFill="1" applyBorder="1" applyAlignment="1">
      <alignment horizontal="justify" vertical="top" wrapText="1"/>
    </xf>
    <xf numFmtId="4" fontId="36" fillId="0" borderId="47" xfId="0" applyNumberFormat="1" applyFont="1" applyFill="1" applyBorder="1" applyAlignment="1" applyProtection="1">
      <alignment horizontal="justify" vertical="top" wrapText="1" shrinkToFit="1"/>
      <protection/>
    </xf>
    <xf numFmtId="0" fontId="36" fillId="0" borderId="47" xfId="0" applyFont="1" applyFill="1" applyBorder="1" applyAlignment="1">
      <alignment horizontal="justify" vertical="top" wrapText="1"/>
    </xf>
    <xf numFmtId="4" fontId="36" fillId="0" borderId="47" xfId="71" applyNumberFormat="1" applyFont="1" applyFill="1" applyBorder="1" applyAlignment="1" applyProtection="1">
      <alignment horizontal="justify" vertical="top" wrapText="1"/>
      <protection/>
    </xf>
    <xf numFmtId="4" fontId="36" fillId="0" borderId="47" xfId="60" applyNumberFormat="1" applyFont="1" applyFill="1" applyBorder="1" applyAlignment="1" applyProtection="1">
      <alignment horizontal="justify" vertical="top" wrapText="1"/>
      <protection/>
    </xf>
    <xf numFmtId="0" fontId="36" fillId="0" borderId="47" xfId="71" applyFont="1" applyFill="1" applyBorder="1" applyAlignment="1">
      <alignment horizontal="justify" vertical="top" wrapText="1"/>
      <protection/>
    </xf>
    <xf numFmtId="0" fontId="12" fillId="0" borderId="0" xfId="0" applyFont="1" applyFill="1" applyAlignment="1">
      <alignment horizontal="right" vertical="top" wrapText="1"/>
    </xf>
    <xf numFmtId="0" fontId="36" fillId="0" borderId="0" xfId="0" applyFont="1" applyFill="1" applyAlignment="1">
      <alignment horizontal="right" wrapText="1"/>
    </xf>
    <xf numFmtId="4" fontId="36" fillId="0" borderId="0" xfId="0" applyNumberFormat="1" applyFont="1" applyFill="1" applyAlignment="1">
      <alignment horizontal="right" wrapText="1"/>
    </xf>
    <xf numFmtId="0" fontId="12" fillId="0" borderId="0" xfId="0" applyFont="1" applyFill="1" applyAlignment="1">
      <alignment horizontal="right" wrapText="1"/>
    </xf>
    <xf numFmtId="4" fontId="36" fillId="0" borderId="22" xfId="0" applyNumberFormat="1" applyFont="1" applyFill="1" applyBorder="1" applyAlignment="1">
      <alignment horizontal="right" wrapText="1"/>
    </xf>
    <xf numFmtId="0" fontId="36" fillId="0" borderId="22" xfId="0" applyFont="1" applyFill="1" applyBorder="1" applyAlignment="1">
      <alignment horizontal="right" wrapText="1"/>
    </xf>
    <xf numFmtId="4" fontId="12" fillId="0" borderId="0" xfId="0" applyNumberFormat="1" applyFont="1" applyFill="1" applyBorder="1" applyAlignment="1" applyProtection="1">
      <alignment horizontal="right" wrapText="1"/>
      <protection/>
    </xf>
    <xf numFmtId="4" fontId="36" fillId="0" borderId="0" xfId="0" applyNumberFormat="1" applyFont="1" applyFill="1" applyBorder="1" applyAlignment="1">
      <alignment horizontal="right" wrapText="1"/>
    </xf>
    <xf numFmtId="4" fontId="36" fillId="0" borderId="47" xfId="0" applyNumberFormat="1" applyFont="1" applyFill="1" applyBorder="1" applyAlignment="1">
      <alignment horizontal="right" wrapText="1"/>
    </xf>
    <xf numFmtId="4" fontId="36" fillId="0" borderId="47" xfId="0" applyNumberFormat="1" applyFont="1" applyFill="1" applyBorder="1" applyAlignment="1" applyProtection="1">
      <alignment horizontal="right" wrapText="1"/>
      <protection/>
    </xf>
    <xf numFmtId="4" fontId="36" fillId="0" borderId="47" xfId="71" applyNumberFormat="1" applyFont="1" applyFill="1" applyBorder="1" applyAlignment="1" applyProtection="1">
      <alignment horizontal="right" wrapText="1"/>
      <protection/>
    </xf>
    <xf numFmtId="4" fontId="36" fillId="0" borderId="47" xfId="71" applyNumberFormat="1" applyFont="1" applyFill="1" applyBorder="1" applyAlignment="1">
      <alignment horizontal="right" wrapText="1"/>
      <protection/>
    </xf>
    <xf numFmtId="4" fontId="36" fillId="0" borderId="47" xfId="60" applyNumberFormat="1" applyFont="1" applyFill="1" applyBorder="1" applyAlignment="1" applyProtection="1">
      <alignment horizontal="right" wrapText="1"/>
      <protection/>
    </xf>
    <xf numFmtId="4" fontId="12" fillId="0" borderId="49" xfId="0" applyNumberFormat="1" applyFont="1" applyFill="1" applyBorder="1" applyAlignment="1">
      <alignment horizontal="right" wrapText="1"/>
    </xf>
    <xf numFmtId="0" fontId="36" fillId="0" borderId="0" xfId="0" applyFont="1" applyAlignment="1">
      <alignment horizontal="right" wrapText="1"/>
    </xf>
    <xf numFmtId="0" fontId="36" fillId="0" borderId="0" xfId="0" applyFont="1" applyFill="1" applyAlignment="1">
      <alignment horizontal="center" wrapText="1"/>
    </xf>
    <xf numFmtId="4" fontId="36" fillId="0" borderId="0" xfId="0" applyNumberFormat="1" applyFont="1" applyFill="1" applyAlignment="1">
      <alignment horizontal="center" wrapText="1"/>
    </xf>
    <xf numFmtId="4" fontId="36" fillId="0" borderId="22" xfId="0" applyNumberFormat="1" applyFont="1" applyFill="1" applyBorder="1" applyAlignment="1">
      <alignment horizontal="center" wrapText="1"/>
    </xf>
    <xf numFmtId="0" fontId="36" fillId="0" borderId="0" xfId="0" applyFont="1" applyFill="1" applyBorder="1" applyAlignment="1">
      <alignment horizontal="center" wrapText="1"/>
    </xf>
    <xf numFmtId="4" fontId="36" fillId="0" borderId="47" xfId="0" applyNumberFormat="1" applyFont="1" applyFill="1" applyBorder="1" applyAlignment="1">
      <alignment horizontal="center" wrapText="1"/>
    </xf>
    <xf numFmtId="4" fontId="36" fillId="0" borderId="47" xfId="0" applyNumberFormat="1" applyFont="1" applyFill="1" applyBorder="1" applyAlignment="1" applyProtection="1">
      <alignment horizontal="center" wrapText="1"/>
      <protection/>
    </xf>
    <xf numFmtId="0" fontId="36" fillId="0" borderId="47" xfId="0" applyFont="1" applyFill="1" applyBorder="1" applyAlignment="1">
      <alignment horizontal="center" wrapText="1"/>
    </xf>
    <xf numFmtId="9" fontId="36" fillId="0" borderId="47" xfId="0" applyNumberFormat="1" applyFont="1" applyFill="1" applyBorder="1" applyAlignment="1">
      <alignment horizontal="center" wrapText="1"/>
    </xf>
    <xf numFmtId="4" fontId="36" fillId="0" borderId="47" xfId="71" applyNumberFormat="1" applyFont="1" applyFill="1" applyBorder="1" applyAlignment="1" applyProtection="1">
      <alignment horizontal="center" wrapText="1"/>
      <protection/>
    </xf>
    <xf numFmtId="4" fontId="36" fillId="0" borderId="47" xfId="71" applyNumberFormat="1" applyFont="1" applyFill="1" applyBorder="1" applyAlignment="1">
      <alignment horizontal="center" wrapText="1"/>
      <protection/>
    </xf>
    <xf numFmtId="4" fontId="36" fillId="0" borderId="47" xfId="60" applyNumberFormat="1" applyFont="1" applyFill="1" applyBorder="1" applyAlignment="1" applyProtection="1">
      <alignment horizontal="center" wrapText="1"/>
      <protection/>
    </xf>
    <xf numFmtId="0" fontId="36" fillId="0" borderId="0" xfId="0" applyFont="1" applyAlignment="1">
      <alignment horizontal="center" wrapText="1"/>
    </xf>
    <xf numFmtId="49" fontId="36" fillId="0" borderId="0" xfId="0" applyNumberFormat="1" applyFont="1" applyFill="1" applyAlignment="1">
      <alignment horizontal="center" vertical="top" wrapText="1"/>
    </xf>
    <xf numFmtId="49" fontId="12" fillId="0" borderId="0" xfId="0" applyNumberFormat="1" applyFont="1" applyFill="1" applyAlignment="1">
      <alignment horizontal="center" vertical="top" wrapText="1"/>
    </xf>
    <xf numFmtId="49" fontId="36" fillId="0" borderId="47" xfId="0" applyNumberFormat="1" applyFont="1" applyFill="1" applyBorder="1" applyAlignment="1">
      <alignment horizontal="center" vertical="top" wrapText="1"/>
    </xf>
    <xf numFmtId="1" fontId="36" fillId="0" borderId="47" xfId="0" applyNumberFormat="1" applyFont="1" applyFill="1" applyBorder="1" applyAlignment="1">
      <alignment horizontal="center" vertical="top" wrapText="1"/>
    </xf>
    <xf numFmtId="0" fontId="36" fillId="0" borderId="0" xfId="0" applyFont="1" applyAlignment="1">
      <alignment horizontal="center" vertical="top" wrapText="1"/>
    </xf>
    <xf numFmtId="4" fontId="10" fillId="0" borderId="45" xfId="0" applyNumberFormat="1" applyFont="1" applyBorder="1" applyAlignment="1">
      <alignment horizontal="right" vertical="top" wrapText="1"/>
    </xf>
    <xf numFmtId="4" fontId="19" fillId="0" borderId="28" xfId="0" applyNumberFormat="1" applyFont="1" applyBorder="1" applyAlignment="1">
      <alignment horizontal="right" wrapText="1"/>
    </xf>
    <xf numFmtId="4" fontId="9" fillId="0" borderId="45" xfId="0" applyNumberFormat="1" applyFont="1" applyFill="1" applyBorder="1" applyAlignment="1">
      <alignment horizontal="right" vertical="top" wrapText="1"/>
    </xf>
    <xf numFmtId="4" fontId="10" fillId="0" borderId="45" xfId="0" applyNumberFormat="1" applyFont="1" applyFill="1" applyBorder="1" applyAlignment="1">
      <alignment horizontal="justify" vertical="top" wrapText="1"/>
    </xf>
    <xf numFmtId="4" fontId="12" fillId="0" borderId="45" xfId="0" applyNumberFormat="1" applyFont="1" applyFill="1" applyBorder="1" applyAlignment="1">
      <alignment horizontal="center" wrapText="1"/>
    </xf>
    <xf numFmtId="4" fontId="74" fillId="0" borderId="45" xfId="0" applyNumberFormat="1" applyFont="1" applyFill="1" applyBorder="1" applyAlignment="1">
      <alignment horizontal="right" wrapText="1"/>
    </xf>
    <xf numFmtId="4" fontId="21" fillId="0" borderId="50" xfId="0" applyNumberFormat="1" applyFont="1" applyFill="1" applyBorder="1" applyAlignment="1">
      <alignment horizontal="right" wrapText="1"/>
    </xf>
    <xf numFmtId="4" fontId="10" fillId="0" borderId="17" xfId="0" applyNumberFormat="1" applyFont="1" applyBorder="1" applyAlignment="1">
      <alignment horizontal="right" vertical="top" wrapText="1"/>
    </xf>
    <xf numFmtId="4" fontId="19" fillId="0" borderId="51" xfId="0" applyNumberFormat="1" applyFont="1" applyBorder="1" applyAlignment="1">
      <alignment horizontal="right" wrapText="1"/>
    </xf>
    <xf numFmtId="4" fontId="36" fillId="0" borderId="1" xfId="0" applyNumberFormat="1" applyFont="1" applyBorder="1" applyAlignment="1">
      <alignment horizontal="center" wrapText="1"/>
    </xf>
    <xf numFmtId="4" fontId="37" fillId="0" borderId="17" xfId="0" applyNumberFormat="1" applyFont="1" applyBorder="1" applyAlignment="1">
      <alignment horizontal="justify" vertical="top" wrapText="1"/>
    </xf>
    <xf numFmtId="4" fontId="36" fillId="0" borderId="17" xfId="0" applyNumberFormat="1" applyFont="1" applyBorder="1" applyAlignment="1">
      <alignment horizontal="center" wrapText="1"/>
    </xf>
    <xf numFmtId="4" fontId="37" fillId="0" borderId="45" xfId="0" applyNumberFormat="1" applyFont="1" applyBorder="1" applyAlignment="1">
      <alignment horizontal="justify" vertical="top" wrapText="1"/>
    </xf>
    <xf numFmtId="4" fontId="36" fillId="0" borderId="45" xfId="0" applyNumberFormat="1" applyFont="1" applyBorder="1" applyAlignment="1">
      <alignment horizontal="center" wrapText="1"/>
    </xf>
    <xf numFmtId="4" fontId="11" fillId="0" borderId="45" xfId="0" applyNumberFormat="1" applyFont="1" applyBorder="1" applyAlignment="1">
      <alignment horizontal="right" wrapText="1"/>
    </xf>
    <xf numFmtId="4" fontId="20" fillId="4" borderId="9" xfId="0" applyNumberFormat="1" applyFont="1" applyFill="1" applyBorder="1" applyAlignment="1">
      <alignment horizontal="right" wrapText="1"/>
    </xf>
    <xf numFmtId="4" fontId="72" fillId="0" borderId="0" xfId="0" applyNumberFormat="1" applyFont="1" applyAlignment="1">
      <alignment horizontal="right"/>
    </xf>
    <xf numFmtId="4" fontId="36" fillId="0" borderId="0" xfId="0" applyNumberFormat="1" applyFont="1" applyAlignment="1">
      <alignment/>
    </xf>
    <xf numFmtId="4" fontId="36" fillId="0" borderId="0" xfId="0" applyNumberFormat="1" applyFont="1" applyAlignment="1">
      <alignment horizontal="right"/>
    </xf>
    <xf numFmtId="4" fontId="83" fillId="0" borderId="0" xfId="0" applyNumberFormat="1" applyFont="1" applyAlignment="1">
      <alignment horizontal="right"/>
    </xf>
    <xf numFmtId="4" fontId="83" fillId="0" borderId="0" xfId="0" applyNumberFormat="1" applyFont="1" applyAlignment="1">
      <alignment horizontal="justify" vertical="top" wrapText="1"/>
    </xf>
    <xf numFmtId="4" fontId="37" fillId="0" borderId="0" xfId="67" applyNumberFormat="1" applyFont="1" applyAlignment="1">
      <alignment horizontal="left"/>
      <protection/>
    </xf>
    <xf numFmtId="4" fontId="37" fillId="0" borderId="0" xfId="67" applyNumberFormat="1" applyFont="1" applyAlignment="1">
      <alignment horizontal="right"/>
      <protection/>
    </xf>
    <xf numFmtId="4" fontId="21" fillId="0" borderId="47" xfId="67" applyNumberFormat="1" applyFont="1" applyBorder="1" applyAlignment="1">
      <alignment horizontal="right" vertical="top" wrapText="1"/>
      <protection/>
    </xf>
    <xf numFmtId="4" fontId="21" fillId="0" borderId="47" xfId="67" applyNumberFormat="1" applyFont="1" applyBorder="1" applyAlignment="1">
      <alignment horizontal="justify" vertical="top" wrapText="1"/>
      <protection/>
    </xf>
    <xf numFmtId="4" fontId="21" fillId="0" borderId="47" xfId="67" applyNumberFormat="1" applyFont="1" applyBorder="1" applyAlignment="1">
      <alignment horizontal="center"/>
      <protection/>
    </xf>
    <xf numFmtId="4" fontId="21" fillId="0" borderId="47" xfId="67" applyNumberFormat="1" applyFont="1" applyBorder="1" applyAlignment="1">
      <alignment horizontal="right"/>
      <protection/>
    </xf>
    <xf numFmtId="4" fontId="19" fillId="0" borderId="47" xfId="67" applyNumberFormat="1" applyFont="1" applyBorder="1" applyAlignment="1">
      <alignment horizontal="right" vertical="top" wrapText="1"/>
      <protection/>
    </xf>
    <xf numFmtId="4" fontId="38" fillId="0" borderId="47" xfId="0" applyNumberFormat="1" applyFont="1" applyBorder="1" applyAlignment="1">
      <alignment horizontal="justify" vertical="top" wrapText="1"/>
    </xf>
    <xf numFmtId="4" fontId="22" fillId="0" borderId="47" xfId="0" applyNumberFormat="1" applyFont="1" applyBorder="1" applyAlignment="1">
      <alignment horizontal="center" wrapText="1"/>
    </xf>
    <xf numFmtId="4" fontId="22" fillId="0" borderId="47" xfId="0" applyNumberFormat="1" applyFont="1" applyBorder="1" applyAlignment="1">
      <alignment horizontal="right" wrapText="1"/>
    </xf>
    <xf numFmtId="4" fontId="22" fillId="0" borderId="47" xfId="0" applyNumberFormat="1" applyFont="1" applyBorder="1" applyAlignment="1">
      <alignment horizontal="justify" vertical="top" wrapText="1"/>
    </xf>
    <xf numFmtId="4" fontId="21" fillId="31" borderId="47" xfId="67" applyNumberFormat="1" applyFont="1" applyFill="1" applyBorder="1" applyAlignment="1">
      <alignment horizontal="right"/>
      <protection/>
    </xf>
    <xf numFmtId="4" fontId="19" fillId="0" borderId="0" xfId="67" applyNumberFormat="1" applyFont="1" applyAlignment="1">
      <alignment horizontal="right" vertical="top" wrapText="1"/>
      <protection/>
    </xf>
    <xf numFmtId="4" fontId="20" fillId="0" borderId="0" xfId="67" applyNumberFormat="1" applyFont="1" applyAlignment="1">
      <alignment horizontal="justify" vertical="top" wrapText="1"/>
      <protection/>
    </xf>
    <xf numFmtId="4" fontId="19" fillId="0" borderId="0" xfId="67" applyNumberFormat="1" applyFont="1" applyAlignment="1">
      <alignment horizontal="left"/>
      <protection/>
    </xf>
    <xf numFmtId="4" fontId="19" fillId="0" borderId="0" xfId="67" applyNumberFormat="1" applyFont="1" applyAlignment="1">
      <alignment horizontal="right"/>
      <protection/>
    </xf>
    <xf numFmtId="4" fontId="36" fillId="0" borderId="0" xfId="67" applyNumberFormat="1" applyFont="1" applyAlignment="1">
      <alignment horizontal="right"/>
      <protection/>
    </xf>
    <xf numFmtId="4" fontId="22" fillId="0" borderId="0" xfId="0" applyNumberFormat="1" applyFont="1" applyBorder="1" applyAlignment="1">
      <alignment horizontal="right" vertical="top" wrapText="1"/>
    </xf>
    <xf numFmtId="4" fontId="22" fillId="0" borderId="0" xfId="0" applyNumberFormat="1" applyFont="1" applyBorder="1" applyAlignment="1">
      <alignment horizontal="justify" vertical="top" wrapText="1"/>
    </xf>
    <xf numFmtId="4" fontId="22" fillId="0" borderId="0" xfId="0" applyNumberFormat="1" applyFont="1" applyBorder="1" applyAlignment="1">
      <alignment horizontal="center" wrapText="1"/>
    </xf>
    <xf numFmtId="4" fontId="22" fillId="0" borderId="0" xfId="0" applyNumberFormat="1" applyFont="1" applyBorder="1" applyAlignment="1">
      <alignment horizontal="right" wrapText="1"/>
    </xf>
    <xf numFmtId="4" fontId="84" fillId="0" borderId="47" xfId="0" applyNumberFormat="1" applyFont="1" applyBorder="1" applyAlignment="1">
      <alignment horizontal="justify" vertical="top" wrapText="1"/>
    </xf>
    <xf numFmtId="4" fontId="39" fillId="31" borderId="47" xfId="0" applyNumberFormat="1" applyFont="1" applyFill="1" applyBorder="1" applyAlignment="1">
      <alignment horizontal="right" wrapText="1"/>
    </xf>
    <xf numFmtId="4" fontId="39" fillId="31" borderId="47" xfId="0" applyNumberFormat="1" applyFont="1" applyFill="1" applyBorder="1" applyAlignment="1">
      <alignment horizontal="right"/>
    </xf>
    <xf numFmtId="4" fontId="19" fillId="0" borderId="0" xfId="67" applyNumberFormat="1" applyFont="1" applyAlignment="1">
      <alignment horizontal="justify" vertical="top" wrapText="1"/>
      <protection/>
    </xf>
    <xf numFmtId="4" fontId="85" fillId="0" borderId="0" xfId="67" applyNumberFormat="1" applyFont="1" applyAlignment="1">
      <alignment horizontal="justify" vertical="top" wrapText="1"/>
      <protection/>
    </xf>
    <xf numFmtId="4" fontId="20" fillId="0" borderId="1" xfId="67" applyNumberFormat="1" applyFont="1" applyBorder="1" applyAlignment="1">
      <alignment horizontal="right" vertical="top" wrapText="1"/>
      <protection/>
    </xf>
    <xf numFmtId="4" fontId="83" fillId="0" borderId="1" xfId="0" applyNumberFormat="1" applyFont="1" applyBorder="1" applyAlignment="1">
      <alignment horizontal="justify" vertical="top" wrapText="1"/>
    </xf>
    <xf numFmtId="4" fontId="19" fillId="0" borderId="1" xfId="67" applyNumberFormat="1" applyFont="1" applyBorder="1" applyAlignment="1">
      <alignment horizontal="right"/>
      <protection/>
    </xf>
    <xf numFmtId="4" fontId="21" fillId="0" borderId="1" xfId="67" applyNumberFormat="1" applyFont="1" applyBorder="1" applyAlignment="1">
      <alignment horizontal="right"/>
      <protection/>
    </xf>
    <xf numFmtId="4" fontId="21" fillId="0" borderId="23" xfId="67" applyNumberFormat="1" applyFont="1" applyBorder="1" applyAlignment="1">
      <alignment horizontal="center" vertical="top" wrapText="1"/>
      <protection/>
    </xf>
    <xf numFmtId="4" fontId="21" fillId="0" borderId="23" xfId="67" applyNumberFormat="1" applyFont="1" applyBorder="1" applyAlignment="1">
      <alignment horizontal="justify" vertical="top" wrapText="1"/>
      <protection/>
    </xf>
    <xf numFmtId="4" fontId="36" fillId="0" borderId="23" xfId="0" applyNumberFormat="1" applyFont="1" applyBorder="1" applyAlignment="1">
      <alignment/>
    </xf>
    <xf numFmtId="4" fontId="19" fillId="0" borderId="23" xfId="67" applyNumberFormat="1" applyFont="1" applyBorder="1" applyAlignment="1">
      <alignment horizontal="right"/>
      <protection/>
    </xf>
    <xf numFmtId="4" fontId="21" fillId="0" borderId="23" xfId="67" applyNumberFormat="1" applyFont="1" applyBorder="1" applyAlignment="1">
      <alignment horizontal="right" wrapText="1"/>
      <protection/>
    </xf>
    <xf numFmtId="4" fontId="36" fillId="0" borderId="48" xfId="0" applyNumberFormat="1" applyFont="1" applyBorder="1" applyAlignment="1">
      <alignment horizontal="right"/>
    </xf>
    <xf numFmtId="4" fontId="36" fillId="0" borderId="48" xfId="0" applyNumberFormat="1" applyFont="1" applyBorder="1" applyAlignment="1">
      <alignment/>
    </xf>
    <xf numFmtId="4" fontId="19" fillId="0" borderId="48" xfId="67" applyNumberFormat="1" applyFont="1" applyBorder="1" applyAlignment="1">
      <alignment horizontal="right"/>
      <protection/>
    </xf>
    <xf numFmtId="4" fontId="85" fillId="48" borderId="48" xfId="67" applyNumberFormat="1" applyFont="1" applyFill="1" applyBorder="1" applyAlignment="1">
      <alignment horizontal="right"/>
      <protection/>
    </xf>
    <xf numFmtId="4" fontId="36" fillId="0" borderId="0" xfId="0" applyNumberFormat="1" applyFont="1" applyAlignment="1">
      <alignment horizontal="justify" vertical="top" wrapText="1"/>
    </xf>
    <xf numFmtId="4" fontId="20" fillId="0" borderId="52" xfId="67" applyNumberFormat="1" applyFont="1" applyBorder="1" applyAlignment="1">
      <alignment horizontal="center"/>
      <protection/>
    </xf>
    <xf numFmtId="4" fontId="20" fillId="0" borderId="14" xfId="67" applyNumberFormat="1" applyFont="1" applyBorder="1" applyAlignment="1">
      <alignment horizontal="center"/>
      <protection/>
    </xf>
    <xf numFmtId="4" fontId="22" fillId="0" borderId="52" xfId="0" applyNumberFormat="1" applyFont="1" applyBorder="1" applyAlignment="1">
      <alignment horizontal="center" vertical="top" wrapText="1"/>
    </xf>
    <xf numFmtId="4" fontId="22" fillId="0" borderId="14" xfId="0" applyNumberFormat="1" applyFont="1" applyBorder="1" applyAlignment="1">
      <alignment horizontal="center" vertical="top" wrapText="1"/>
    </xf>
    <xf numFmtId="4" fontId="22" fillId="0" borderId="37" xfId="0" applyNumberFormat="1" applyFont="1" applyBorder="1" applyAlignment="1">
      <alignment horizontal="center" vertical="top" wrapText="1"/>
    </xf>
    <xf numFmtId="4" fontId="39" fillId="0" borderId="0" xfId="0" applyNumberFormat="1" applyFont="1" applyAlignment="1">
      <alignment/>
    </xf>
    <xf numFmtId="4" fontId="0" fillId="0" borderId="47" xfId="0" applyNumberFormat="1" applyBorder="1" applyAlignment="1">
      <alignment vertical="top"/>
    </xf>
    <xf numFmtId="4" fontId="12" fillId="0" borderId="47" xfId="67" applyNumberFormat="1" applyFont="1" applyBorder="1" applyAlignment="1">
      <alignment horizontal="right" vertical="top" wrapText="1"/>
      <protection/>
    </xf>
    <xf numFmtId="4" fontId="20" fillId="0" borderId="1" xfId="63" applyNumberFormat="1" applyFont="1" applyBorder="1" applyAlignment="1">
      <alignment vertical="top" wrapText="1"/>
      <protection/>
    </xf>
    <xf numFmtId="4" fontId="38" fillId="0" borderId="1" xfId="0" applyNumberFormat="1" applyFont="1" applyFill="1" applyBorder="1" applyAlignment="1">
      <alignment horizontal="right"/>
    </xf>
    <xf numFmtId="4" fontId="38" fillId="0" borderId="1" xfId="0" applyNumberFormat="1" applyFont="1" applyFill="1" applyBorder="1" applyAlignment="1">
      <alignment vertical="top" wrapText="1"/>
    </xf>
    <xf numFmtId="4" fontId="21" fillId="0" borderId="1" xfId="52" applyNumberFormat="1" applyFont="1" applyFill="1" applyBorder="1" applyAlignment="1">
      <alignment vertical="top" wrapText="1"/>
      <protection/>
    </xf>
    <xf numFmtId="4" fontId="21" fillId="0" borderId="1" xfId="52" applyNumberFormat="1" applyFont="1" applyFill="1" applyBorder="1" applyAlignment="1">
      <alignment horizontal="right"/>
      <protection/>
    </xf>
    <xf numFmtId="4" fontId="19" fillId="0" borderId="1" xfId="52" applyNumberFormat="1" applyFont="1" applyFill="1" applyBorder="1" applyAlignment="1">
      <alignment horizontal="right"/>
      <protection/>
    </xf>
    <xf numFmtId="4" fontId="21" fillId="0" borderId="1" xfId="52" applyNumberFormat="1" applyFont="1" applyFill="1" applyBorder="1" applyAlignment="1" applyProtection="1">
      <alignment horizontal="right"/>
      <protection/>
    </xf>
    <xf numFmtId="4" fontId="21" fillId="0" borderId="1" xfId="52" applyNumberFormat="1" applyFont="1" applyFill="1" applyBorder="1" applyAlignment="1" applyProtection="1">
      <alignment vertical="top" wrapText="1"/>
      <protection/>
    </xf>
    <xf numFmtId="4" fontId="12" fillId="40" borderId="1" xfId="0" applyNumberFormat="1" applyFont="1" applyFill="1" applyBorder="1" applyAlignment="1">
      <alignment horizontal="center" wrapText="1"/>
    </xf>
    <xf numFmtId="4" fontId="19" fillId="0" borderId="1" xfId="64" applyNumberFormat="1" applyFont="1" applyFill="1" applyBorder="1" applyAlignment="1">
      <alignment horizontal="justify" vertical="top" wrapText="1"/>
      <protection/>
    </xf>
    <xf numFmtId="4" fontId="19" fillId="0" borderId="1" xfId="64" applyNumberFormat="1" applyFont="1" applyFill="1" applyBorder="1" applyAlignment="1">
      <alignment horizontal="right"/>
      <protection/>
    </xf>
    <xf numFmtId="4" fontId="19" fillId="0" borderId="1" xfId="52" applyNumberFormat="1" applyFont="1" applyBorder="1" applyAlignment="1" applyProtection="1">
      <alignment horizontal="right"/>
      <protection/>
    </xf>
    <xf numFmtId="4" fontId="38" fillId="0" borderId="1" xfId="0" applyNumberFormat="1" applyFont="1" applyFill="1" applyBorder="1" applyAlignment="1">
      <alignment horizontal="left" vertical="top" wrapText="1"/>
    </xf>
    <xf numFmtId="4" fontId="38" fillId="0" borderId="1" xfId="0" applyNumberFormat="1" applyFont="1" applyFill="1" applyBorder="1" applyAlignment="1">
      <alignment horizontal="right" wrapText="1"/>
    </xf>
    <xf numFmtId="4" fontId="19" fillId="0" borderId="1" xfId="52" applyNumberFormat="1" applyFont="1" applyFill="1" applyBorder="1" applyAlignment="1" applyProtection="1">
      <alignment horizontal="right"/>
      <protection/>
    </xf>
    <xf numFmtId="4" fontId="21" fillId="0" borderId="1" xfId="62" applyNumberFormat="1" applyFont="1" applyFill="1" applyBorder="1" applyAlignment="1">
      <alignment vertical="top" wrapText="1"/>
      <protection/>
    </xf>
    <xf numFmtId="4" fontId="21" fillId="0" borderId="1" xfId="52" applyNumberFormat="1" applyFont="1" applyFill="1" applyBorder="1" applyAlignment="1">
      <alignment horizontal="center"/>
      <protection/>
    </xf>
    <xf numFmtId="4" fontId="21" fillId="0" borderId="1" xfId="52" applyNumberFormat="1" applyFont="1" applyFill="1" applyBorder="1" applyAlignment="1" applyProtection="1">
      <alignment horizontal="center"/>
      <protection/>
    </xf>
    <xf numFmtId="4" fontId="21" fillId="0" borderId="1" xfId="52" applyNumberFormat="1" applyFont="1" applyFill="1" applyBorder="1" applyAlignment="1" applyProtection="1">
      <alignment horizontal="left" vertical="top" wrapText="1"/>
      <protection/>
    </xf>
    <xf numFmtId="4" fontId="19" fillId="0" borderId="1" xfId="64" applyNumberFormat="1" applyFont="1" applyFill="1" applyBorder="1" applyAlignment="1">
      <alignment horizontal="left" vertical="top" wrapText="1"/>
      <protection/>
    </xf>
    <xf numFmtId="4" fontId="19" fillId="0" borderId="1" xfId="64" applyNumberFormat="1" applyFont="1" applyFill="1" applyBorder="1" applyAlignment="1">
      <alignment horizontal="center"/>
      <protection/>
    </xf>
    <xf numFmtId="4" fontId="19" fillId="0" borderId="1" xfId="67" applyNumberFormat="1" applyFont="1" applyFill="1" applyBorder="1" applyAlignment="1">
      <alignment horizontal="right"/>
      <protection/>
    </xf>
    <xf numFmtId="4" fontId="38" fillId="0" borderId="1" xfId="0" applyNumberFormat="1" applyFont="1" applyFill="1" applyBorder="1" applyAlignment="1">
      <alignment horizontal="center" wrapText="1"/>
    </xf>
    <xf numFmtId="4" fontId="19" fillId="0" borderId="1" xfId="0" applyNumberFormat="1" applyFont="1" applyFill="1" applyBorder="1" applyAlignment="1">
      <alignment horizontal="left" vertical="top" wrapText="1"/>
    </xf>
    <xf numFmtId="4" fontId="19" fillId="0" borderId="1" xfId="0" applyNumberFormat="1" applyFont="1" applyFill="1" applyBorder="1" applyAlignment="1">
      <alignment horizontal="center"/>
    </xf>
    <xf numFmtId="4" fontId="38" fillId="0" borderId="1" xfId="0" applyNumberFormat="1" applyFont="1" applyBorder="1" applyAlignment="1">
      <alignment horizontal="right" wrapText="1"/>
    </xf>
    <xf numFmtId="4" fontId="19" fillId="0" borderId="1" xfId="62" applyNumberFormat="1" applyFont="1" applyFill="1" applyBorder="1" applyAlignment="1">
      <alignment horizontal="left" vertical="top" wrapText="1"/>
      <protection/>
    </xf>
    <xf numFmtId="4" fontId="86" fillId="0" borderId="1" xfId="0" applyNumberFormat="1" applyFont="1" applyFill="1" applyBorder="1" applyAlignment="1">
      <alignment horizontal="left" vertical="top" wrapText="1"/>
    </xf>
    <xf numFmtId="4" fontId="39" fillId="0" borderId="1" xfId="0" applyNumberFormat="1" applyFont="1" applyFill="1" applyBorder="1" applyAlignment="1">
      <alignment horizontal="right" wrapText="1"/>
    </xf>
    <xf numFmtId="4" fontId="21" fillId="0" borderId="1" xfId="52" applyNumberFormat="1" applyFont="1" applyBorder="1" applyAlignment="1" applyProtection="1">
      <alignment horizontal="right"/>
      <protection/>
    </xf>
    <xf numFmtId="4" fontId="39" fillId="0" borderId="1" xfId="0" applyNumberFormat="1" applyFont="1" applyFill="1" applyBorder="1" applyAlignment="1">
      <alignment horizontal="right" vertical="top" wrapText="1"/>
    </xf>
    <xf numFmtId="4" fontId="39" fillId="0" borderId="1" xfId="0" applyNumberFormat="1" applyFont="1" applyFill="1" applyBorder="1" applyAlignment="1">
      <alignment vertical="top" wrapText="1"/>
    </xf>
    <xf numFmtId="4" fontId="38" fillId="0" borderId="1" xfId="0" applyNumberFormat="1" applyFont="1" applyBorder="1" applyAlignment="1">
      <alignment vertical="top" wrapText="1"/>
    </xf>
    <xf numFmtId="4" fontId="38" fillId="0" borderId="1" xfId="0" applyNumberFormat="1" applyFont="1" applyBorder="1" applyAlignment="1">
      <alignment horizontal="center" wrapText="1"/>
    </xf>
    <xf numFmtId="4" fontId="21" fillId="0" borderId="1" xfId="62" applyNumberFormat="1" applyFont="1" applyFill="1" applyBorder="1" applyAlignment="1">
      <alignment horizontal="left" vertical="top" wrapText="1"/>
      <protection/>
    </xf>
    <xf numFmtId="4" fontId="39" fillId="0" borderId="1" xfId="0" applyNumberFormat="1" applyFont="1" applyFill="1" applyBorder="1" applyAlignment="1">
      <alignment horizontal="left" vertical="top" wrapText="1"/>
    </xf>
    <xf numFmtId="4" fontId="38" fillId="0" borderId="1" xfId="0" applyNumberFormat="1" applyFont="1" applyFill="1" applyBorder="1" applyAlignment="1">
      <alignment horizontal="left" vertical="top"/>
    </xf>
    <xf numFmtId="4" fontId="21" fillId="0" borderId="1" xfId="0" applyNumberFormat="1" applyFont="1" applyFill="1" applyBorder="1" applyAlignment="1" applyProtection="1">
      <alignment horizontal="left" vertical="top" wrapText="1"/>
      <protection/>
    </xf>
    <xf numFmtId="4" fontId="21" fillId="0" borderId="1" xfId="0" applyNumberFormat="1" applyFont="1" applyFill="1" applyBorder="1" applyAlignment="1" applyProtection="1">
      <alignment horizontal="right"/>
      <protection/>
    </xf>
    <xf numFmtId="4" fontId="19" fillId="0" borderId="1" xfId="0" applyNumberFormat="1" applyFont="1" applyFill="1" applyBorder="1" applyAlignment="1">
      <alignment horizontal="right"/>
    </xf>
    <xf numFmtId="4" fontId="19" fillId="0" borderId="1" xfId="62" applyNumberFormat="1" applyFont="1" applyFill="1" applyBorder="1" applyAlignment="1">
      <alignment horizontal="center"/>
      <protection/>
    </xf>
    <xf numFmtId="4" fontId="19" fillId="0" borderId="1" xfId="62" applyNumberFormat="1" applyFont="1" applyFill="1" applyBorder="1" applyAlignment="1">
      <alignment horizontal="right"/>
      <protection/>
    </xf>
    <xf numFmtId="4" fontId="21" fillId="0" borderId="1" xfId="52" applyNumberFormat="1" applyFont="1" applyFill="1" applyBorder="1" applyAlignment="1">
      <alignment horizontal="left"/>
      <protection/>
    </xf>
    <xf numFmtId="4" fontId="19" fillId="0" borderId="1" xfId="65" applyNumberFormat="1" applyFont="1" applyFill="1" applyBorder="1" applyAlignment="1">
      <alignment horizontal="left" vertical="top" wrapText="1"/>
      <protection/>
    </xf>
    <xf numFmtId="1" fontId="19" fillId="0" borderId="17" xfId="63" applyNumberFormat="1" applyFont="1" applyBorder="1" applyAlignment="1">
      <alignment horizontal="center"/>
      <protection/>
    </xf>
    <xf numFmtId="1" fontId="19" fillId="0" borderId="1" xfId="63" applyNumberFormat="1" applyFont="1" applyBorder="1" applyAlignment="1">
      <alignment horizontal="center"/>
      <protection/>
    </xf>
    <xf numFmtId="1" fontId="19" fillId="0" borderId="23" xfId="63" applyNumberFormat="1" applyFont="1" applyBorder="1" applyAlignment="1">
      <alignment horizontal="center"/>
      <protection/>
    </xf>
    <xf numFmtId="1" fontId="38" fillId="0" borderId="0" xfId="0" applyNumberFormat="1" applyFont="1" applyFill="1" applyAlignment="1">
      <alignment horizontal="center"/>
    </xf>
    <xf numFmtId="1" fontId="72" fillId="0" borderId="0" xfId="63" applyNumberFormat="1" applyFont="1" applyAlignment="1">
      <alignment horizontal="center" vertical="top"/>
      <protection/>
    </xf>
    <xf numFmtId="1" fontId="21" fillId="0" borderId="0" xfId="63" applyNumberFormat="1" applyFont="1" applyAlignment="1">
      <alignment horizontal="center" vertical="top"/>
      <protection/>
    </xf>
    <xf numFmtId="1" fontId="19" fillId="0" borderId="48" xfId="0" applyNumberFormat="1" applyFont="1" applyBorder="1" applyAlignment="1">
      <alignment horizontal="center"/>
    </xf>
    <xf numFmtId="1" fontId="19" fillId="0" borderId="0" xfId="63" applyNumberFormat="1" applyFont="1" applyAlignment="1">
      <alignment horizontal="center" vertical="top"/>
      <protection/>
    </xf>
    <xf numFmtId="1" fontId="19" fillId="0" borderId="1" xfId="63" applyNumberFormat="1" applyFont="1" applyBorder="1" applyAlignment="1">
      <alignment horizontal="center" vertical="top"/>
      <protection/>
    </xf>
    <xf numFmtId="1" fontId="21" fillId="0" borderId="1" xfId="52" applyNumberFormat="1" applyFont="1" applyBorder="1" applyAlignment="1">
      <alignment horizontal="center" vertical="top"/>
      <protection/>
    </xf>
    <xf numFmtId="1" fontId="19" fillId="0" borderId="1" xfId="52" applyNumberFormat="1" applyFont="1" applyBorder="1" applyAlignment="1">
      <alignment horizontal="center" vertical="top"/>
      <protection/>
    </xf>
    <xf numFmtId="1" fontId="38" fillId="0" borderId="1" xfId="0" applyNumberFormat="1" applyFont="1" applyBorder="1" applyAlignment="1">
      <alignment horizontal="center" vertical="top"/>
    </xf>
    <xf numFmtId="1" fontId="21" fillId="0" borderId="1" xfId="52" applyNumberFormat="1" applyFont="1" applyFill="1" applyBorder="1" applyAlignment="1">
      <alignment horizontal="center" vertical="top"/>
      <protection/>
    </xf>
    <xf numFmtId="1" fontId="21" fillId="40" borderId="1" xfId="0" applyNumberFormat="1" applyFont="1" applyFill="1" applyBorder="1" applyAlignment="1">
      <alignment horizontal="center" vertical="top" wrapText="1"/>
    </xf>
    <xf numFmtId="1" fontId="19" fillId="0" borderId="1" xfId="0" applyNumberFormat="1" applyFont="1" applyFill="1" applyBorder="1" applyAlignment="1">
      <alignment horizontal="center" vertical="top"/>
    </xf>
    <xf numFmtId="1" fontId="38" fillId="0" borderId="1" xfId="0" applyNumberFormat="1" applyFont="1" applyFill="1" applyBorder="1" applyAlignment="1">
      <alignment horizontal="center"/>
    </xf>
    <xf numFmtId="1" fontId="21" fillId="0" borderId="1" xfId="52" applyNumberFormat="1" applyFont="1" applyFill="1" applyBorder="1" applyAlignment="1" applyProtection="1">
      <alignment horizontal="center" vertical="top"/>
      <protection/>
    </xf>
    <xf numFmtId="1" fontId="19" fillId="0" borderId="1" xfId="64" applyNumberFormat="1" applyFont="1" applyFill="1" applyBorder="1" applyAlignment="1">
      <alignment horizontal="center" vertical="top"/>
      <protection/>
    </xf>
    <xf numFmtId="1" fontId="19" fillId="0" borderId="1" xfId="0" applyNumberFormat="1" applyFont="1" applyBorder="1" applyAlignment="1">
      <alignment horizontal="center" vertical="top"/>
    </xf>
    <xf numFmtId="1" fontId="19" fillId="0" borderId="1" xfId="62" applyNumberFormat="1" applyFont="1" applyFill="1" applyBorder="1" applyAlignment="1">
      <alignment horizontal="center" vertical="top"/>
      <protection/>
    </xf>
    <xf numFmtId="1" fontId="38" fillId="0" borderId="1" xfId="0" applyNumberFormat="1" applyFont="1" applyFill="1" applyBorder="1" applyAlignment="1">
      <alignment horizontal="center" vertical="top"/>
    </xf>
    <xf numFmtId="1" fontId="19" fillId="0" borderId="0" xfId="0" applyNumberFormat="1" applyFont="1" applyFill="1" applyBorder="1" applyAlignment="1">
      <alignment horizontal="center" vertical="center" wrapText="1"/>
    </xf>
    <xf numFmtId="1" fontId="19" fillId="0" borderId="0" xfId="0" applyNumberFormat="1" applyFont="1" applyAlignment="1">
      <alignment horizontal="center"/>
    </xf>
    <xf numFmtId="4" fontId="19" fillId="4" borderId="1" xfId="52" applyNumberFormat="1" applyFont="1" applyFill="1" applyBorder="1" applyAlignment="1" applyProtection="1">
      <alignment horizontal="right"/>
      <protection locked="0"/>
    </xf>
    <xf numFmtId="4" fontId="19" fillId="45" borderId="1" xfId="52" applyNumberFormat="1" applyFont="1" applyFill="1" applyBorder="1" applyAlignment="1" applyProtection="1">
      <alignment horizontal="right"/>
      <protection locked="0"/>
    </xf>
    <xf numFmtId="4" fontId="22" fillId="0" borderId="1" xfId="0" applyNumberFormat="1" applyFont="1" applyBorder="1" applyAlignment="1">
      <alignment horizontal="justify" vertical="top" wrapText="1"/>
    </xf>
    <xf numFmtId="4" fontId="36" fillId="0" borderId="1" xfId="63" applyNumberFormat="1" applyFont="1" applyBorder="1" applyAlignment="1">
      <alignment horizontal="justify" vertical="top" wrapText="1"/>
      <protection/>
    </xf>
    <xf numFmtId="4" fontId="12" fillId="0" borderId="1" xfId="52" applyNumberFormat="1" applyFont="1" applyBorder="1" applyAlignment="1">
      <alignment horizontal="left" vertical="top" wrapText="1"/>
      <protection/>
    </xf>
    <xf numFmtId="4" fontId="84" fillId="0" borderId="1" xfId="0" applyNumberFormat="1" applyFont="1" applyBorder="1" applyAlignment="1">
      <alignment horizontal="justify" vertical="top"/>
    </xf>
    <xf numFmtId="4" fontId="22" fillId="0" borderId="1" xfId="0" applyNumberFormat="1" applyFont="1" applyBorder="1" applyAlignment="1">
      <alignment horizontal="justify" vertical="top"/>
    </xf>
    <xf numFmtId="4" fontId="22" fillId="0" borderId="1" xfId="0" applyNumberFormat="1" applyFont="1" applyBorder="1" applyAlignment="1">
      <alignment horizontal="left" vertical="top" wrapText="1"/>
    </xf>
    <xf numFmtId="4" fontId="37" fillId="0" borderId="52" xfId="67" applyNumberFormat="1" applyFont="1" applyBorder="1" applyAlignment="1">
      <alignment horizontal="center"/>
      <protection/>
    </xf>
    <xf numFmtId="4" fontId="9" fillId="0" borderId="48" xfId="67" applyNumberFormat="1" applyFont="1" applyBorder="1" applyAlignment="1">
      <alignment horizontal="right" vertical="top" wrapText="1"/>
      <protection/>
    </xf>
    <xf numFmtId="4" fontId="9" fillId="39" borderId="53" xfId="0" applyNumberFormat="1" applyFont="1" applyFill="1" applyBorder="1" applyAlignment="1">
      <alignment horizontal="right" vertical="top" wrapText="1"/>
    </xf>
    <xf numFmtId="4" fontId="21" fillId="4" borderId="14" xfId="0" applyNumberFormat="1" applyFont="1" applyFill="1" applyBorder="1" applyAlignment="1" applyProtection="1">
      <alignment horizontal="right" vertical="top" wrapText="1"/>
      <protection/>
    </xf>
    <xf numFmtId="0" fontId="19" fillId="4" borderId="14" xfId="0" applyFont="1" applyFill="1" applyBorder="1" applyAlignment="1">
      <alignment horizontal="center" wrapText="1"/>
    </xf>
    <xf numFmtId="4" fontId="21" fillId="4" borderId="14" xfId="0" applyNumberFormat="1" applyFont="1" applyFill="1" applyBorder="1" applyAlignment="1" applyProtection="1">
      <alignment horizontal="right" wrapText="1"/>
      <protection/>
    </xf>
    <xf numFmtId="4" fontId="21" fillId="4" borderId="14" xfId="0" applyNumberFormat="1" applyFont="1" applyFill="1" applyBorder="1" applyAlignment="1">
      <alignment horizontal="right" wrapText="1"/>
    </xf>
    <xf numFmtId="4" fontId="72" fillId="0" borderId="0" xfId="0" applyNumberFormat="1" applyFont="1" applyFill="1" applyAlignment="1" applyProtection="1">
      <alignment horizontal="center" vertical="top" wrapText="1"/>
      <protection/>
    </xf>
    <xf numFmtId="4" fontId="72" fillId="0" borderId="0" xfId="0" applyNumberFormat="1" applyFont="1" applyFill="1" applyAlignment="1" applyProtection="1">
      <alignment horizontal="justify" vertical="top" wrapText="1"/>
      <protection/>
    </xf>
    <xf numFmtId="4" fontId="72" fillId="23" borderId="1" xfId="0" applyNumberFormat="1" applyFont="1" applyFill="1" applyBorder="1" applyAlignment="1">
      <alignment horizontal="right" vertical="top" wrapText="1"/>
    </xf>
    <xf numFmtId="4" fontId="72" fillId="23" borderId="1" xfId="0" applyNumberFormat="1" applyFont="1" applyFill="1" applyBorder="1" applyAlignment="1">
      <alignment horizontal="justify" vertical="top" wrapText="1"/>
    </xf>
    <xf numFmtId="1" fontId="19" fillId="4" borderId="54" xfId="63" applyNumberFormat="1" applyFont="1" applyFill="1" applyBorder="1" applyAlignment="1">
      <alignment horizontal="center" vertical="top"/>
      <protection/>
    </xf>
    <xf numFmtId="4" fontId="21" fillId="4" borderId="54" xfId="63" applyNumberFormat="1" applyFont="1" applyFill="1" applyBorder="1" applyAlignment="1">
      <alignment horizontal="right" vertical="top"/>
      <protection/>
    </xf>
    <xf numFmtId="4" fontId="21" fillId="4" borderId="54" xfId="63" applyNumberFormat="1" applyFont="1" applyFill="1" applyBorder="1">
      <alignment/>
      <protection/>
    </xf>
    <xf numFmtId="4" fontId="21" fillId="4" borderId="54" xfId="63" applyNumberFormat="1" applyFont="1" applyFill="1" applyBorder="1" applyAlignment="1">
      <alignment horizontal="right"/>
      <protection/>
    </xf>
    <xf numFmtId="4" fontId="72" fillId="0" borderId="45" xfId="0" applyNumberFormat="1" applyFont="1" applyBorder="1" applyAlignment="1">
      <alignment horizontal="right" vertical="top" wrapText="1"/>
    </xf>
    <xf numFmtId="4" fontId="12" fillId="0" borderId="45" xfId="0" applyNumberFormat="1" applyFont="1" applyBorder="1" applyAlignment="1">
      <alignment horizontal="center" wrapText="1"/>
    </xf>
    <xf numFmtId="4" fontId="74" fillId="0" borderId="45" xfId="0" applyNumberFormat="1" applyFont="1" applyBorder="1" applyAlignment="1">
      <alignment horizontal="right" wrapText="1"/>
    </xf>
    <xf numFmtId="4" fontId="72" fillId="0" borderId="1" xfId="0" applyNumberFormat="1" applyFont="1" applyBorder="1" applyAlignment="1">
      <alignment horizontal="right" vertical="top" wrapText="1"/>
    </xf>
    <xf numFmtId="4" fontId="36" fillId="0" borderId="25" xfId="0" applyNumberFormat="1" applyFont="1" applyFill="1" applyBorder="1" applyAlignment="1">
      <alignment horizontal="right" wrapText="1"/>
    </xf>
    <xf numFmtId="4" fontId="74" fillId="40" borderId="1" xfId="0" applyNumberFormat="1" applyFont="1" applyFill="1" applyBorder="1" applyAlignment="1">
      <alignment horizontal="center" vertical="top" wrapText="1"/>
    </xf>
    <xf numFmtId="4" fontId="19" fillId="0" borderId="0" xfId="0" applyNumberFormat="1" applyFont="1" applyAlignment="1">
      <alignment horizontal="center"/>
    </xf>
    <xf numFmtId="4" fontId="0" fillId="0" borderId="0" xfId="0" applyNumberFormat="1" applyAlignment="1">
      <alignment horizontal="justify" vertical="top" wrapText="1"/>
    </xf>
    <xf numFmtId="4" fontId="0" fillId="0" borderId="0" xfId="0" applyNumberFormat="1" applyAlignment="1">
      <alignment horizontal="center" vertical="top" wrapText="1"/>
    </xf>
    <xf numFmtId="4" fontId="0" fillId="0" borderId="0" xfId="64" applyNumberFormat="1" applyFont="1" applyFill="1" applyBorder="1" applyAlignment="1">
      <alignment horizontal="justify" vertical="top" wrapText="1"/>
      <protection/>
    </xf>
    <xf numFmtId="4" fontId="0" fillId="0" borderId="0" xfId="0" applyNumberFormat="1" applyFont="1" applyFill="1" applyBorder="1" applyAlignment="1">
      <alignment horizontal="justify" vertical="top" wrapText="1"/>
    </xf>
    <xf numFmtId="4" fontId="0" fillId="0" borderId="0" xfId="0" applyNumberFormat="1" applyAlignment="1">
      <alignment horizontal="right" vertical="top" wrapText="1"/>
    </xf>
    <xf numFmtId="4" fontId="21" fillId="0" borderId="55" xfId="0" applyNumberFormat="1" applyFont="1" applyFill="1" applyBorder="1" applyAlignment="1">
      <alignment horizontal="right" wrapText="1"/>
    </xf>
    <xf numFmtId="4" fontId="72" fillId="0" borderId="17" xfId="0" applyNumberFormat="1" applyFont="1" applyBorder="1" applyAlignment="1">
      <alignment horizontal="justify" vertical="top" wrapText="1"/>
    </xf>
    <xf numFmtId="4" fontId="21" fillId="0" borderId="26" xfId="0" applyNumberFormat="1" applyFont="1" applyBorder="1" applyAlignment="1">
      <alignment horizontal="right" vertical="top" wrapText="1"/>
    </xf>
    <xf numFmtId="4" fontId="72" fillId="0" borderId="26" xfId="0" applyNumberFormat="1" applyFont="1" applyBorder="1" applyAlignment="1">
      <alignment horizontal="right" vertical="top" wrapText="1"/>
    </xf>
    <xf numFmtId="4" fontId="12" fillId="0" borderId="26" xfId="0" applyNumberFormat="1" applyFont="1" applyBorder="1" applyAlignment="1">
      <alignment horizontal="center" wrapText="1"/>
    </xf>
    <xf numFmtId="4" fontId="74" fillId="0" borderId="26" xfId="0" applyNumberFormat="1" applyFont="1" applyBorder="1" applyAlignment="1">
      <alignment horizontal="right" wrapText="1"/>
    </xf>
    <xf numFmtId="4" fontId="21" fillId="0" borderId="30" xfId="0" applyNumberFormat="1" applyFont="1" applyBorder="1" applyAlignment="1">
      <alignment horizontal="right" wrapText="1"/>
    </xf>
    <xf numFmtId="4" fontId="72" fillId="0" borderId="56" xfId="0" applyNumberFormat="1" applyFont="1" applyBorder="1" applyAlignment="1">
      <alignment horizontal="right" vertical="top" wrapText="1"/>
    </xf>
    <xf numFmtId="4" fontId="12" fillId="0" borderId="56" xfId="0" applyNumberFormat="1" applyFont="1" applyBorder="1" applyAlignment="1">
      <alignment horizontal="center" wrapText="1"/>
    </xf>
    <xf numFmtId="4" fontId="19" fillId="0" borderId="30" xfId="0" applyNumberFormat="1" applyFont="1" applyBorder="1" applyAlignment="1">
      <alignment horizontal="right" wrapText="1"/>
    </xf>
    <xf numFmtId="4" fontId="46" fillId="0" borderId="57" xfId="63" applyNumberFormat="1" applyFont="1" applyBorder="1">
      <alignment/>
      <protection/>
    </xf>
    <xf numFmtId="4" fontId="0" fillId="0" borderId="0" xfId="52" applyNumberFormat="1" applyFont="1" applyFill="1" applyBorder="1" applyAlignment="1">
      <alignment horizontal="center"/>
      <protection/>
    </xf>
    <xf numFmtId="4" fontId="44" fillId="0" borderId="0" xfId="63" applyNumberFormat="1" applyFont="1" applyAlignment="1">
      <alignment horizontal="right" vertical="top"/>
      <protection/>
    </xf>
    <xf numFmtId="4" fontId="44" fillId="0" borderId="0" xfId="63" applyNumberFormat="1" applyFont="1" applyAlignment="1">
      <alignment wrapText="1"/>
      <protection/>
    </xf>
    <xf numFmtId="4" fontId="44" fillId="0" borderId="0" xfId="63" applyNumberFormat="1" applyFont="1" applyAlignment="1">
      <alignment/>
      <protection/>
    </xf>
    <xf numFmtId="4" fontId="44" fillId="0" borderId="0" xfId="63" applyNumberFormat="1" applyFont="1">
      <alignment/>
      <protection/>
    </xf>
    <xf numFmtId="4" fontId="44" fillId="0" borderId="22" xfId="63" applyNumberFormat="1" applyFont="1" applyBorder="1" applyAlignment="1">
      <alignment/>
      <protection/>
    </xf>
    <xf numFmtId="4" fontId="44" fillId="0" borderId="22" xfId="63" applyNumberFormat="1" applyFont="1" applyBorder="1" applyAlignment="1">
      <alignment horizontal="left"/>
      <protection/>
    </xf>
    <xf numFmtId="4" fontId="44" fillId="0" borderId="22" xfId="63" applyNumberFormat="1" applyFont="1" applyBorder="1" applyAlignment="1">
      <alignment horizontal="right"/>
      <protection/>
    </xf>
    <xf numFmtId="4" fontId="0" fillId="0" borderId="0" xfId="63" applyNumberFormat="1" applyFont="1" applyAlignment="1">
      <alignment horizontal="right" vertical="top"/>
      <protection/>
    </xf>
    <xf numFmtId="4" fontId="0" fillId="0" borderId="24" xfId="63" applyNumberFormat="1" applyFont="1" applyBorder="1" applyAlignment="1">
      <alignment wrapText="1"/>
      <protection/>
    </xf>
    <xf numFmtId="4" fontId="0" fillId="0" borderId="24" xfId="63" applyNumberFormat="1" applyFont="1" applyBorder="1" applyAlignment="1">
      <alignment/>
      <protection/>
    </xf>
    <xf numFmtId="4" fontId="0" fillId="0" borderId="24" xfId="63" applyNumberFormat="1" applyFont="1" applyBorder="1">
      <alignment/>
      <protection/>
    </xf>
    <xf numFmtId="4" fontId="0" fillId="0" borderId="0" xfId="63" applyNumberFormat="1" applyFont="1" applyAlignment="1">
      <alignment horizontal="center"/>
      <protection/>
    </xf>
    <xf numFmtId="4" fontId="0" fillId="0" borderId="0" xfId="63" applyNumberFormat="1" applyFont="1" applyBorder="1" applyAlignment="1">
      <alignment wrapText="1"/>
      <protection/>
    </xf>
    <xf numFmtId="4" fontId="0" fillId="0" borderId="0" xfId="63" applyNumberFormat="1" applyFont="1" applyBorder="1" applyAlignment="1">
      <alignment/>
      <protection/>
    </xf>
    <xf numFmtId="4" fontId="0" fillId="0" borderId="0" xfId="63" applyNumberFormat="1" applyFont="1" applyBorder="1">
      <alignment/>
      <protection/>
    </xf>
    <xf numFmtId="4" fontId="0" fillId="0" borderId="0" xfId="63" applyNumberFormat="1" applyFont="1" applyAlignment="1">
      <alignment horizontal="center" vertical="top"/>
      <protection/>
    </xf>
    <xf numFmtId="4" fontId="44" fillId="0" borderId="0" xfId="63" applyNumberFormat="1" applyFont="1" applyBorder="1" applyAlignment="1">
      <alignment wrapText="1"/>
      <protection/>
    </xf>
    <xf numFmtId="4" fontId="44" fillId="0" borderId="0" xfId="63" applyNumberFormat="1" applyFont="1" applyBorder="1" applyAlignment="1">
      <alignment/>
      <protection/>
    </xf>
    <xf numFmtId="4" fontId="45" fillId="0" borderId="57" xfId="63" applyNumberFormat="1" applyFont="1" applyBorder="1" applyAlignment="1">
      <alignment horizontal="right" vertical="top"/>
      <protection/>
    </xf>
    <xf numFmtId="4" fontId="0" fillId="0" borderId="0" xfId="63" applyNumberFormat="1" applyFont="1" applyAlignment="1">
      <alignment wrapText="1"/>
      <protection/>
    </xf>
    <xf numFmtId="4" fontId="0" fillId="0" borderId="0" xfId="63" applyNumberFormat="1" applyFont="1" applyAlignment="1">
      <alignment/>
      <protection/>
    </xf>
    <xf numFmtId="4" fontId="0" fillId="0" borderId="0" xfId="63" applyNumberFormat="1" applyFont="1">
      <alignment/>
      <protection/>
    </xf>
    <xf numFmtId="4" fontId="41" fillId="0" borderId="0" xfId="0" applyNumberFormat="1" applyFont="1" applyAlignment="1">
      <alignment horizontal="left" vertical="top" wrapText="1"/>
    </xf>
    <xf numFmtId="4" fontId="44" fillId="0" borderId="0" xfId="52" applyNumberFormat="1" applyFont="1" applyBorder="1" applyAlignment="1">
      <alignment horizontal="right" vertical="top"/>
      <protection/>
    </xf>
    <xf numFmtId="4" fontId="44" fillId="0" borderId="0" xfId="52" applyNumberFormat="1" applyFont="1" applyBorder="1" applyAlignment="1">
      <alignment horizontal="left" vertical="top" wrapText="1"/>
      <protection/>
    </xf>
    <xf numFmtId="4" fontId="44" fillId="0" borderId="0" xfId="52" applyNumberFormat="1" applyFont="1" applyBorder="1" applyAlignment="1" applyProtection="1">
      <alignment horizontal="right" vertical="top"/>
      <protection/>
    </xf>
    <xf numFmtId="4" fontId="44" fillId="0" borderId="19" xfId="52" applyNumberFormat="1" applyFont="1" applyBorder="1" applyAlignment="1" applyProtection="1">
      <alignment horizontal="left" vertical="top" wrapText="1"/>
      <protection/>
    </xf>
    <xf numFmtId="4" fontId="41" fillId="0" borderId="0" xfId="0" applyNumberFormat="1" applyFont="1" applyAlignment="1">
      <alignment vertical="top"/>
    </xf>
    <xf numFmtId="4" fontId="0" fillId="0" borderId="0" xfId="52" applyNumberFormat="1" applyFont="1" applyAlignment="1">
      <alignment vertical="top"/>
      <protection/>
    </xf>
    <xf numFmtId="4" fontId="47" fillId="0" borderId="0" xfId="0" applyNumberFormat="1" applyFont="1" applyAlignment="1">
      <alignment horizontal="justify"/>
    </xf>
    <xf numFmtId="4" fontId="22" fillId="0" borderId="0" xfId="0" applyNumberFormat="1" applyFont="1" applyAlignment="1">
      <alignment/>
    </xf>
    <xf numFmtId="4" fontId="22" fillId="0" borderId="0" xfId="0" applyNumberFormat="1" applyFont="1" applyAlignment="1">
      <alignment horizontal="left" indent="1"/>
    </xf>
    <xf numFmtId="4" fontId="22" fillId="0" borderId="0" xfId="0" applyNumberFormat="1" applyFont="1" applyAlignment="1">
      <alignment horizontal="right" vertical="top"/>
    </xf>
    <xf numFmtId="4" fontId="41" fillId="0" borderId="0" xfId="0" applyNumberFormat="1" applyFont="1" applyAlignment="1">
      <alignment horizontal="justify"/>
    </xf>
    <xf numFmtId="4" fontId="44" fillId="0" borderId="0" xfId="52" applyNumberFormat="1" applyFont="1" applyFill="1" applyBorder="1" applyAlignment="1">
      <alignment horizontal="right" vertical="top"/>
      <protection/>
    </xf>
    <xf numFmtId="4" fontId="44" fillId="0" borderId="0" xfId="52" applyNumberFormat="1" applyFont="1" applyFill="1" applyBorder="1" applyAlignment="1">
      <alignment vertical="top" wrapText="1"/>
      <protection/>
    </xf>
    <xf numFmtId="4" fontId="44" fillId="0" borderId="0" xfId="52" applyNumberFormat="1" applyFont="1" applyFill="1" applyBorder="1" applyAlignment="1">
      <alignment horizontal="center"/>
      <protection/>
    </xf>
    <xf numFmtId="4" fontId="44" fillId="48" borderId="1" xfId="52" applyNumberFormat="1" applyFont="1" applyFill="1" applyBorder="1" applyAlignment="1">
      <alignment horizontal="center"/>
      <protection/>
    </xf>
    <xf numFmtId="4" fontId="44" fillId="0" borderId="0" xfId="52" applyNumberFormat="1" applyFont="1" applyFill="1" applyBorder="1" applyAlignment="1" applyProtection="1">
      <alignment horizontal="center"/>
      <protection/>
    </xf>
    <xf numFmtId="4" fontId="44" fillId="0" borderId="0" xfId="52" applyNumberFormat="1" applyFont="1" applyFill="1" applyBorder="1" applyAlignment="1" applyProtection="1">
      <alignment horizontal="right" vertical="top"/>
      <protection/>
    </xf>
    <xf numFmtId="4" fontId="44" fillId="0" borderId="0" xfId="52" applyNumberFormat="1" applyFont="1" applyFill="1" applyBorder="1" applyAlignment="1" applyProtection="1">
      <alignment vertical="top" wrapText="1"/>
      <protection/>
    </xf>
    <xf numFmtId="4" fontId="44" fillId="0" borderId="0" xfId="52" applyNumberFormat="1" applyFont="1" applyFill="1" applyAlignment="1" applyProtection="1">
      <alignment horizontal="right" vertical="top"/>
      <protection/>
    </xf>
    <xf numFmtId="4" fontId="44" fillId="0" borderId="19" xfId="52" applyNumberFormat="1" applyFont="1" applyFill="1" applyBorder="1" applyAlignment="1" applyProtection="1">
      <alignment horizontal="left" vertical="top" wrapText="1"/>
      <protection/>
    </xf>
    <xf numFmtId="4" fontId="44" fillId="0" borderId="19" xfId="52" applyNumberFormat="1" applyFont="1" applyFill="1" applyBorder="1" applyAlignment="1" applyProtection="1">
      <alignment horizontal="center"/>
      <protection/>
    </xf>
    <xf numFmtId="4" fontId="41" fillId="0" borderId="0" xfId="0" applyNumberFormat="1" applyFont="1" applyFill="1" applyAlignment="1">
      <alignment vertical="top" wrapText="1"/>
    </xf>
    <xf numFmtId="4" fontId="0" fillId="0" borderId="0" xfId="64" applyNumberFormat="1" applyFont="1" applyFill="1" applyBorder="1" applyAlignment="1">
      <alignment horizontal="right" vertical="top"/>
      <protection/>
    </xf>
    <xf numFmtId="4" fontId="41" fillId="0" borderId="0" xfId="0" applyNumberFormat="1" applyFont="1" applyFill="1" applyAlignment="1">
      <alignment horizontal="center"/>
    </xf>
    <xf numFmtId="4" fontId="0" fillId="40" borderId="1" xfId="52" applyNumberFormat="1" applyFont="1" applyFill="1" applyBorder="1" applyAlignment="1" applyProtection="1">
      <alignment horizontal="center"/>
      <protection locked="0"/>
    </xf>
    <xf numFmtId="4" fontId="0" fillId="0" borderId="0" xfId="52" applyNumberFormat="1" applyFont="1" applyFill="1" applyBorder="1" applyAlignment="1" applyProtection="1">
      <alignment horizontal="center"/>
      <protection/>
    </xf>
    <xf numFmtId="4" fontId="41" fillId="0" borderId="0" xfId="0" applyNumberFormat="1" applyFont="1" applyFill="1" applyBorder="1" applyAlignment="1">
      <alignment horizontal="center"/>
    </xf>
    <xf numFmtId="4" fontId="0" fillId="0" borderId="0" xfId="62" applyNumberFormat="1" applyFont="1" applyFill="1" applyBorder="1" applyAlignment="1">
      <alignment horizontal="left" vertical="top" wrapText="1"/>
      <protection/>
    </xf>
    <xf numFmtId="4" fontId="44" fillId="0" borderId="0" xfId="62" applyNumberFormat="1" applyFont="1" applyFill="1" applyBorder="1" applyAlignment="1">
      <alignment vertical="top" wrapText="1"/>
      <protection/>
    </xf>
    <xf numFmtId="4" fontId="44" fillId="0" borderId="0" xfId="52" applyNumberFormat="1" applyFont="1" applyFill="1" applyBorder="1" applyProtection="1">
      <alignment/>
      <protection/>
    </xf>
    <xf numFmtId="4" fontId="44" fillId="0" borderId="0" xfId="52" applyNumberFormat="1" applyFont="1" applyFill="1" applyAlignment="1" applyProtection="1">
      <alignment horizontal="left" vertical="top" wrapText="1"/>
      <protection/>
    </xf>
    <xf numFmtId="4" fontId="0" fillId="0" borderId="0" xfId="64" applyNumberFormat="1" applyFont="1" applyFill="1" applyBorder="1" applyAlignment="1">
      <alignment horizontal="center"/>
      <protection/>
    </xf>
    <xf numFmtId="4" fontId="0" fillId="0" borderId="0" xfId="52" applyNumberFormat="1" applyFont="1" applyBorder="1" applyAlignment="1" applyProtection="1">
      <alignment horizontal="center"/>
      <protection/>
    </xf>
    <xf numFmtId="4" fontId="0" fillId="0" borderId="0" xfId="0" applyNumberFormat="1" applyFont="1" applyFill="1" applyAlignment="1">
      <alignment/>
    </xf>
    <xf numFmtId="4" fontId="0" fillId="0" borderId="0" xfId="0" applyNumberFormat="1" applyFont="1" applyFill="1" applyBorder="1" applyAlignment="1">
      <alignment wrapText="1"/>
    </xf>
    <xf numFmtId="4" fontId="0" fillId="0" borderId="0" xfId="0" applyNumberFormat="1" applyFont="1" applyFill="1" applyBorder="1" applyAlignment="1">
      <alignment horizontal="right" vertical="top"/>
    </xf>
    <xf numFmtId="4" fontId="44" fillId="0" borderId="0" xfId="52" applyNumberFormat="1" applyFont="1" applyFill="1" applyAlignment="1" applyProtection="1" quotePrefix="1">
      <alignment horizontal="right" vertical="top"/>
      <protection/>
    </xf>
    <xf numFmtId="4" fontId="0" fillId="0" borderId="0" xfId="0" applyNumberFormat="1" applyFont="1" applyFill="1" applyAlignment="1">
      <alignment vertical="top" wrapText="1"/>
    </xf>
    <xf numFmtId="4" fontId="0" fillId="0" borderId="0" xfId="0" applyNumberFormat="1" applyFont="1" applyFill="1" applyAlignment="1">
      <alignment wrapText="1"/>
    </xf>
    <xf numFmtId="4" fontId="0" fillId="0" borderId="0" xfId="0" applyNumberFormat="1" applyFont="1" applyFill="1" applyAlignment="1" quotePrefix="1">
      <alignment wrapText="1"/>
    </xf>
    <xf numFmtId="4" fontId="0" fillId="0" borderId="0" xfId="52" applyNumberFormat="1" applyFont="1" applyFill="1" applyBorder="1" applyAlignment="1" applyProtection="1">
      <alignment horizontal="center"/>
      <protection locked="0"/>
    </xf>
    <xf numFmtId="4" fontId="41" fillId="0" borderId="0" xfId="0" applyNumberFormat="1" applyFont="1" applyFill="1" applyAlignment="1">
      <alignment wrapText="1"/>
    </xf>
    <xf numFmtId="4" fontId="0" fillId="0" borderId="0" xfId="0" applyNumberFormat="1" applyFont="1" applyFill="1" applyBorder="1" applyAlignment="1">
      <alignment horizontal="center"/>
    </xf>
    <xf numFmtId="4" fontId="44" fillId="0" borderId="0" xfId="64" applyNumberFormat="1" applyFont="1" applyFill="1" applyBorder="1" applyAlignment="1">
      <alignment horizontal="right" vertical="top"/>
      <protection/>
    </xf>
    <xf numFmtId="4" fontId="41" fillId="0" borderId="0" xfId="0" applyNumberFormat="1" applyFont="1" applyFill="1" applyAlignment="1">
      <alignment horizontal="right"/>
    </xf>
    <xf numFmtId="4" fontId="41" fillId="0" borderId="0" xfId="0" applyNumberFormat="1" applyFont="1" applyAlignment="1">
      <alignment wrapText="1"/>
    </xf>
    <xf numFmtId="4" fontId="41" fillId="0" borderId="0" xfId="0" applyNumberFormat="1" applyFont="1" applyAlignment="1">
      <alignment horizontal="center" wrapText="1"/>
    </xf>
    <xf numFmtId="4" fontId="46" fillId="0" borderId="57" xfId="63" applyNumberFormat="1" applyFont="1" applyBorder="1" applyAlignment="1">
      <alignment horizontal="right"/>
      <protection/>
    </xf>
    <xf numFmtId="4" fontId="109" fillId="0" borderId="0" xfId="0" applyNumberFormat="1" applyFont="1" applyAlignment="1">
      <alignment horizontal="justify" vertical="top" wrapText="1"/>
    </xf>
    <xf numFmtId="4" fontId="109" fillId="0" borderId="0" xfId="0" applyNumberFormat="1" applyFont="1" applyAlignment="1">
      <alignment horizontal="center" wrapText="1"/>
    </xf>
    <xf numFmtId="4" fontId="109" fillId="0" borderId="0" xfId="0" applyNumberFormat="1" applyFont="1" applyAlignment="1">
      <alignment horizontal="right" wrapText="1"/>
    </xf>
    <xf numFmtId="4" fontId="41" fillId="0" borderId="0" xfId="0" applyNumberFormat="1" applyFont="1" applyFill="1" applyBorder="1" applyAlignment="1" applyProtection="1">
      <alignment/>
      <protection locked="0"/>
    </xf>
    <xf numFmtId="4" fontId="44" fillId="0" borderId="0" xfId="52" applyNumberFormat="1" applyFont="1" applyFill="1" applyBorder="1" applyProtection="1">
      <alignment/>
      <protection locked="0"/>
    </xf>
    <xf numFmtId="4" fontId="0" fillId="0" borderId="0" xfId="0" applyNumberFormat="1" applyFont="1" applyFill="1" applyAlignment="1" applyProtection="1">
      <alignment/>
      <protection locked="0"/>
    </xf>
    <xf numFmtId="4" fontId="11" fillId="0" borderId="0" xfId="0" applyNumberFormat="1" applyFont="1" applyBorder="1" applyAlignment="1" applyProtection="1">
      <alignment horizontal="right" wrapText="1"/>
      <protection locked="0"/>
    </xf>
    <xf numFmtId="4" fontId="11" fillId="0" borderId="0" xfId="0" applyNumberFormat="1" applyFont="1" applyBorder="1" applyAlignment="1" applyProtection="1">
      <alignment vertical="top"/>
      <protection locked="0"/>
    </xf>
    <xf numFmtId="4" fontId="11" fillId="35" borderId="14" xfId="0" applyNumberFormat="1" applyFont="1" applyFill="1" applyBorder="1" applyAlignment="1" applyProtection="1">
      <alignment horizontal="right" wrapText="1"/>
      <protection locked="0"/>
    </xf>
    <xf numFmtId="4" fontId="11" fillId="36" borderId="0" xfId="0" applyNumberFormat="1" applyFont="1" applyFill="1" applyBorder="1" applyAlignment="1" applyProtection="1">
      <alignment horizontal="right" wrapText="1"/>
      <protection locked="0"/>
    </xf>
    <xf numFmtId="4" fontId="11" fillId="0" borderId="18" xfId="0" applyNumberFormat="1" applyFont="1" applyBorder="1" applyAlignment="1" applyProtection="1">
      <alignment horizontal="right" wrapText="1"/>
      <protection locked="0"/>
    </xf>
    <xf numFmtId="4" fontId="11" fillId="4" borderId="1" xfId="0" applyNumberFormat="1" applyFont="1" applyFill="1" applyBorder="1" applyAlignment="1" applyProtection="1">
      <alignment horizontal="right" wrapText="1"/>
      <protection locked="0"/>
    </xf>
    <xf numFmtId="4" fontId="11" fillId="0" borderId="17" xfId="0" applyNumberFormat="1" applyFont="1" applyBorder="1" applyAlignment="1" applyProtection="1">
      <alignment horizontal="right" wrapText="1"/>
      <protection locked="0"/>
    </xf>
    <xf numFmtId="4" fontId="11" fillId="0" borderId="45" xfId="0" applyNumberFormat="1" applyFont="1" applyBorder="1" applyAlignment="1" applyProtection="1">
      <alignment horizontal="right" wrapText="1"/>
      <protection locked="0"/>
    </xf>
    <xf numFmtId="4" fontId="11" fillId="44" borderId="39" xfId="0" applyNumberFormat="1" applyFont="1" applyFill="1" applyBorder="1" applyAlignment="1" applyProtection="1">
      <alignment horizontal="right" wrapText="1"/>
      <protection locked="0"/>
    </xf>
    <xf numFmtId="4" fontId="11" fillId="0" borderId="39" xfId="0" applyNumberFormat="1" applyFont="1" applyBorder="1" applyAlignment="1" applyProtection="1">
      <alignment horizontal="right" wrapText="1"/>
      <protection locked="0"/>
    </xf>
    <xf numFmtId="4" fontId="11" fillId="0" borderId="44" xfId="0" applyNumberFormat="1" applyFont="1" applyBorder="1" applyAlignment="1" applyProtection="1">
      <alignment horizontal="right" wrapText="1"/>
      <protection locked="0"/>
    </xf>
    <xf numFmtId="4" fontId="11" fillId="4" borderId="58" xfId="0" applyNumberFormat="1" applyFont="1" applyFill="1" applyBorder="1" applyAlignment="1" applyProtection="1">
      <alignment horizontal="right" wrapText="1"/>
      <protection locked="0"/>
    </xf>
    <xf numFmtId="4" fontId="11" fillId="23" borderId="14" xfId="0" applyNumberFormat="1" applyFont="1" applyFill="1" applyBorder="1" applyAlignment="1" applyProtection="1">
      <alignment horizontal="right" wrapText="1"/>
      <protection locked="0"/>
    </xf>
    <xf numFmtId="4" fontId="11" fillId="37" borderId="59" xfId="0" applyNumberFormat="1" applyFont="1" applyFill="1" applyBorder="1" applyAlignment="1" applyProtection="1">
      <alignment horizontal="right" wrapText="1"/>
      <protection locked="0"/>
    </xf>
    <xf numFmtId="4" fontId="11" fillId="0" borderId="18" xfId="0" applyNumberFormat="1" applyFont="1" applyFill="1" applyBorder="1" applyAlignment="1" applyProtection="1">
      <alignment horizontal="right" wrapText="1"/>
      <protection locked="0"/>
    </xf>
    <xf numFmtId="4" fontId="11" fillId="0" borderId="60" xfId="0" applyNumberFormat="1" applyFont="1" applyFill="1" applyBorder="1" applyAlignment="1" applyProtection="1">
      <alignment horizontal="right" wrapText="1"/>
      <protection locked="0"/>
    </xf>
    <xf numFmtId="4" fontId="11" fillId="0" borderId="44" xfId="0" applyNumberFormat="1" applyFont="1" applyFill="1" applyBorder="1" applyAlignment="1" applyProtection="1">
      <alignment horizontal="right" wrapText="1"/>
      <protection locked="0"/>
    </xf>
    <xf numFmtId="4" fontId="11" fillId="0" borderId="39" xfId="0" applyNumberFormat="1" applyFont="1" applyFill="1" applyBorder="1" applyAlignment="1" applyProtection="1">
      <alignment horizontal="right" wrapText="1"/>
      <protection locked="0"/>
    </xf>
    <xf numFmtId="4" fontId="11" fillId="45" borderId="58" xfId="0" applyNumberFormat="1" applyFont="1" applyFill="1" applyBorder="1" applyAlignment="1" applyProtection="1">
      <alignment horizontal="right" wrapText="1"/>
      <protection locked="0"/>
    </xf>
    <xf numFmtId="4" fontId="11" fillId="0" borderId="0" xfId="0" applyNumberFormat="1" applyFont="1" applyFill="1" applyBorder="1" applyAlignment="1" applyProtection="1">
      <alignment horizontal="right" wrapText="1"/>
      <protection locked="0"/>
    </xf>
    <xf numFmtId="4" fontId="11" fillId="23" borderId="1" xfId="0" applyNumberFormat="1" applyFont="1" applyFill="1" applyBorder="1" applyAlignment="1" applyProtection="1">
      <alignment horizontal="right" wrapText="1"/>
      <protection locked="0"/>
    </xf>
    <xf numFmtId="4" fontId="11" fillId="38" borderId="1" xfId="0" applyNumberFormat="1" applyFont="1" applyFill="1" applyBorder="1" applyAlignment="1" applyProtection="1">
      <alignment horizontal="right" wrapText="1"/>
      <protection locked="0"/>
    </xf>
    <xf numFmtId="4" fontId="11" fillId="0" borderId="1" xfId="0" applyNumberFormat="1" applyFont="1" applyFill="1" applyBorder="1" applyAlignment="1" applyProtection="1">
      <alignment horizontal="right" wrapText="1"/>
      <protection locked="0"/>
    </xf>
    <xf numFmtId="4" fontId="11" fillId="0" borderId="1" xfId="0" applyNumberFormat="1" applyFont="1" applyBorder="1" applyAlignment="1" applyProtection="1">
      <alignment horizontal="right" wrapText="1"/>
      <protection locked="0"/>
    </xf>
    <xf numFmtId="4" fontId="11" fillId="0" borderId="13" xfId="0" applyNumberFormat="1" applyFont="1" applyBorder="1" applyAlignment="1" applyProtection="1">
      <alignment horizontal="right" wrapText="1"/>
      <protection locked="0"/>
    </xf>
    <xf numFmtId="4" fontId="11" fillId="39" borderId="14" xfId="0" applyNumberFormat="1" applyFont="1" applyFill="1" applyBorder="1" applyAlignment="1" applyProtection="1">
      <alignment horizontal="right" wrapText="1"/>
      <protection locked="0"/>
    </xf>
    <xf numFmtId="4" fontId="19" fillId="0" borderId="25" xfId="0" applyNumberFormat="1" applyFont="1" applyFill="1" applyBorder="1" applyAlignment="1" applyProtection="1">
      <alignment horizontal="right" wrapText="1"/>
      <protection locked="0"/>
    </xf>
    <xf numFmtId="4" fontId="11" fillId="0" borderId="23" xfId="0" applyNumberFormat="1" applyFont="1" applyBorder="1" applyAlignment="1" applyProtection="1">
      <alignment horizontal="right" wrapText="1"/>
      <protection locked="0"/>
    </xf>
    <xf numFmtId="4" fontId="11" fillId="46" borderId="14" xfId="0" applyNumberFormat="1" applyFont="1" applyFill="1" applyBorder="1" applyAlignment="1" applyProtection="1">
      <alignment horizontal="right" wrapText="1"/>
      <protection locked="0"/>
    </xf>
    <xf numFmtId="4" fontId="88" fillId="7" borderId="14" xfId="0" applyNumberFormat="1" applyFont="1" applyFill="1" applyBorder="1" applyAlignment="1" applyProtection="1">
      <alignment horizontal="right" wrapText="1"/>
      <protection locked="0"/>
    </xf>
    <xf numFmtId="4" fontId="36" fillId="40" borderId="26" xfId="0" applyNumberFormat="1" applyFont="1" applyFill="1" applyBorder="1" applyAlignment="1" applyProtection="1">
      <alignment horizontal="right" wrapText="1"/>
      <protection locked="0"/>
    </xf>
    <xf numFmtId="4" fontId="11" fillId="31" borderId="22" xfId="0" applyNumberFormat="1" applyFont="1" applyFill="1" applyBorder="1" applyAlignment="1" applyProtection="1">
      <alignment horizontal="right" wrapText="1"/>
      <protection locked="0"/>
    </xf>
    <xf numFmtId="4" fontId="11" fillId="0" borderId="17" xfId="0" applyNumberFormat="1" applyFont="1" applyFill="1" applyBorder="1" applyAlignment="1" applyProtection="1">
      <alignment horizontal="right" wrapText="1"/>
      <protection locked="0"/>
    </xf>
    <xf numFmtId="4" fontId="74" fillId="0" borderId="1" xfId="0" applyNumberFormat="1" applyFont="1" applyFill="1" applyBorder="1" applyAlignment="1" applyProtection="1">
      <alignment horizontal="right" wrapText="1"/>
      <protection locked="0"/>
    </xf>
    <xf numFmtId="4" fontId="74" fillId="0" borderId="1" xfId="0" applyNumberFormat="1" applyFont="1" applyBorder="1" applyAlignment="1" applyProtection="1">
      <alignment horizontal="right" wrapText="1"/>
      <protection locked="0"/>
    </xf>
    <xf numFmtId="4" fontId="11" fillId="47" borderId="14" xfId="0" applyNumberFormat="1" applyFont="1" applyFill="1" applyBorder="1" applyAlignment="1" applyProtection="1">
      <alignment horizontal="right" wrapText="1"/>
      <protection locked="0"/>
    </xf>
    <xf numFmtId="4" fontId="11" fillId="41" borderId="0" xfId="0" applyNumberFormat="1" applyFont="1" applyFill="1" applyBorder="1" applyAlignment="1" applyProtection="1">
      <alignment horizontal="right" wrapText="1"/>
      <protection locked="0"/>
    </xf>
    <xf numFmtId="4" fontId="36" fillId="46" borderId="26" xfId="0" applyNumberFormat="1" applyFont="1" applyFill="1" applyBorder="1" applyAlignment="1" applyProtection="1">
      <alignment wrapText="1"/>
      <protection locked="0"/>
    </xf>
    <xf numFmtId="4" fontId="11" fillId="0" borderId="17" xfId="0" applyNumberFormat="1" applyFont="1" applyFill="1" applyBorder="1" applyAlignment="1" applyProtection="1">
      <alignment/>
      <protection locked="0"/>
    </xf>
    <xf numFmtId="4" fontId="21" fillId="0" borderId="17" xfId="0" applyNumberFormat="1" applyFont="1" applyFill="1" applyBorder="1" applyAlignment="1" applyProtection="1">
      <alignment wrapText="1"/>
      <protection locked="0"/>
    </xf>
    <xf numFmtId="4" fontId="19" fillId="4" borderId="17" xfId="0" applyNumberFormat="1" applyFont="1" applyFill="1" applyBorder="1" applyAlignment="1" applyProtection="1">
      <alignment/>
      <protection locked="0"/>
    </xf>
    <xf numFmtId="4" fontId="19" fillId="4" borderId="45" xfId="0" applyNumberFormat="1" applyFont="1" applyFill="1" applyBorder="1" applyAlignment="1" applyProtection="1">
      <alignment/>
      <protection locked="0"/>
    </xf>
    <xf numFmtId="4" fontId="21" fillId="34" borderId="13" xfId="0" applyNumberFormat="1" applyFont="1" applyFill="1" applyBorder="1" applyAlignment="1" applyProtection="1">
      <alignment wrapText="1"/>
      <protection locked="0"/>
    </xf>
    <xf numFmtId="4" fontId="12" fillId="46" borderId="26" xfId="0" applyNumberFormat="1" applyFont="1" applyFill="1" applyBorder="1" applyAlignment="1" applyProtection="1">
      <alignment wrapText="1"/>
      <protection locked="0"/>
    </xf>
    <xf numFmtId="4" fontId="36" fillId="0" borderId="17" xfId="0" applyNumberFormat="1" applyFont="1" applyBorder="1" applyAlignment="1" applyProtection="1">
      <alignment/>
      <protection locked="0"/>
    </xf>
    <xf numFmtId="4" fontId="21" fillId="0" borderId="1" xfId="0" applyNumberFormat="1" applyFont="1" applyBorder="1" applyAlignment="1" applyProtection="1">
      <alignment horizontal="right" wrapText="1"/>
      <protection locked="0"/>
    </xf>
    <xf numFmtId="4" fontId="19" fillId="4" borderId="1" xfId="0" applyNumberFormat="1" applyFont="1" applyFill="1" applyBorder="1" applyAlignment="1" applyProtection="1">
      <alignment horizontal="right" wrapText="1"/>
      <protection locked="0"/>
    </xf>
    <xf numFmtId="4" fontId="19" fillId="4" borderId="23" xfId="0" applyNumberFormat="1" applyFont="1" applyFill="1" applyBorder="1" applyAlignment="1" applyProtection="1">
      <alignment horizontal="right" wrapText="1"/>
      <protection locked="0"/>
    </xf>
    <xf numFmtId="4" fontId="21" fillId="0" borderId="23" xfId="0" applyNumberFormat="1" applyFont="1" applyBorder="1" applyAlignment="1" applyProtection="1">
      <alignment horizontal="right" wrapText="1"/>
      <protection locked="0"/>
    </xf>
    <xf numFmtId="4" fontId="21" fillId="0" borderId="13" xfId="0" applyNumberFormat="1" applyFont="1" applyBorder="1" applyAlignment="1" applyProtection="1">
      <alignment horizontal="right" wrapText="1"/>
      <protection locked="0"/>
    </xf>
    <xf numFmtId="4" fontId="36" fillId="0" borderId="1" xfId="0" applyNumberFormat="1" applyFont="1" applyBorder="1" applyAlignment="1" applyProtection="1">
      <alignment/>
      <protection locked="0"/>
    </xf>
    <xf numFmtId="4" fontId="11" fillId="31" borderId="14" xfId="0" applyNumberFormat="1" applyFont="1" applyFill="1" applyBorder="1" applyAlignment="1" applyProtection="1">
      <alignment horizontal="right" wrapText="1"/>
      <protection locked="0"/>
    </xf>
    <xf numFmtId="4" fontId="21" fillId="0" borderId="17" xfId="0" applyNumberFormat="1" applyFont="1" applyBorder="1" applyAlignment="1" applyProtection="1">
      <alignment horizontal="right" wrapText="1"/>
      <protection locked="0"/>
    </xf>
    <xf numFmtId="4" fontId="19" fillId="4" borderId="17" xfId="0" applyNumberFormat="1" applyFont="1" applyFill="1" applyBorder="1" applyAlignment="1" applyProtection="1">
      <alignment horizontal="right" wrapText="1"/>
      <protection locked="0"/>
    </xf>
    <xf numFmtId="4" fontId="36" fillId="31" borderId="14" xfId="0" applyNumberFormat="1" applyFont="1" applyFill="1" applyBorder="1" applyAlignment="1" applyProtection="1">
      <alignment horizontal="right" wrapText="1"/>
      <protection locked="0"/>
    </xf>
    <xf numFmtId="4" fontId="36" fillId="0" borderId="17" xfId="0" applyNumberFormat="1" applyFont="1" applyFill="1" applyBorder="1" applyAlignment="1" applyProtection="1">
      <alignment horizontal="right" wrapText="1"/>
      <protection locked="0"/>
    </xf>
    <xf numFmtId="4" fontId="36" fillId="0" borderId="1" xfId="0" applyNumberFormat="1" applyFont="1" applyFill="1" applyBorder="1" applyAlignment="1" applyProtection="1">
      <alignment horizontal="right" wrapText="1"/>
      <protection locked="0"/>
    </xf>
    <xf numFmtId="4" fontId="21" fillId="0" borderId="13" xfId="0" applyNumberFormat="1" applyFont="1" applyFill="1" applyBorder="1" applyAlignment="1" applyProtection="1">
      <alignment horizontal="right" wrapText="1"/>
      <protection locked="0"/>
    </xf>
    <xf numFmtId="4" fontId="11" fillId="0" borderId="21" xfId="0" applyNumberFormat="1" applyFont="1" applyBorder="1" applyAlignment="1" applyProtection="1">
      <alignment horizontal="right" wrapText="1"/>
      <protection locked="0"/>
    </xf>
    <xf numFmtId="4" fontId="36" fillId="31" borderId="14" xfId="0" applyNumberFormat="1" applyFont="1" applyFill="1" applyBorder="1" applyAlignment="1" applyProtection="1">
      <alignment/>
      <protection locked="0"/>
    </xf>
    <xf numFmtId="4" fontId="21" fillId="0" borderId="1" xfId="0" applyNumberFormat="1" applyFont="1" applyBorder="1" applyAlignment="1" applyProtection="1">
      <alignment/>
      <protection locked="0"/>
    </xf>
    <xf numFmtId="4" fontId="12" fillId="46" borderId="14" xfId="0" applyNumberFormat="1" applyFont="1" applyFill="1" applyBorder="1" applyAlignment="1" applyProtection="1">
      <alignment wrapText="1"/>
      <protection locked="0"/>
    </xf>
    <xf numFmtId="4" fontId="0" fillId="0" borderId="23" xfId="0" applyNumberFormat="1" applyFont="1" applyBorder="1" applyAlignment="1" applyProtection="1">
      <alignment/>
      <protection locked="0"/>
    </xf>
    <xf numFmtId="4" fontId="0" fillId="0" borderId="45" xfId="0" applyNumberFormat="1" applyFont="1" applyBorder="1" applyAlignment="1" applyProtection="1">
      <alignment/>
      <protection locked="0"/>
    </xf>
    <xf numFmtId="4" fontId="0" fillId="4" borderId="17" xfId="0" applyNumberFormat="1" applyFont="1" applyFill="1" applyBorder="1" applyAlignment="1" applyProtection="1">
      <alignment/>
      <protection locked="0"/>
    </xf>
    <xf numFmtId="4" fontId="11" fillId="7" borderId="14" xfId="0" applyNumberFormat="1" applyFont="1" applyFill="1" applyBorder="1" applyAlignment="1" applyProtection="1">
      <alignment horizontal="right" wrapText="1"/>
      <protection locked="0"/>
    </xf>
    <xf numFmtId="4" fontId="12" fillId="0" borderId="1" xfId="0" applyNumberFormat="1" applyFont="1" applyBorder="1" applyAlignment="1" applyProtection="1">
      <alignment/>
      <protection locked="0"/>
    </xf>
    <xf numFmtId="4" fontId="19" fillId="4" borderId="1" xfId="0" applyNumberFormat="1" applyFont="1" applyFill="1" applyBorder="1" applyAlignment="1" applyProtection="1">
      <alignment/>
      <protection locked="0"/>
    </xf>
    <xf numFmtId="4" fontId="12" fillId="0" borderId="1" xfId="0" applyNumberFormat="1" applyFont="1" applyBorder="1" applyAlignment="1" applyProtection="1">
      <alignment horizontal="center"/>
      <protection locked="0"/>
    </xf>
    <xf numFmtId="4" fontId="19" fillId="4" borderId="23" xfId="0" applyNumberFormat="1" applyFont="1" applyFill="1" applyBorder="1" applyAlignment="1" applyProtection="1">
      <alignment/>
      <protection locked="0"/>
    </xf>
    <xf numFmtId="4" fontId="21" fillId="0" borderId="13" xfId="0" applyNumberFormat="1" applyFont="1" applyBorder="1" applyAlignment="1" applyProtection="1">
      <alignment/>
      <protection locked="0"/>
    </xf>
    <xf numFmtId="4" fontId="36" fillId="0" borderId="0" xfId="0" applyNumberFormat="1" applyFont="1" applyBorder="1" applyAlignment="1" applyProtection="1">
      <alignment/>
      <protection locked="0"/>
    </xf>
    <xf numFmtId="4" fontId="74" fillId="47" borderId="14" xfId="0" applyNumberFormat="1" applyFont="1" applyFill="1" applyBorder="1" applyAlignment="1" applyProtection="1">
      <alignment horizontal="right" wrapText="1"/>
      <protection locked="0"/>
    </xf>
    <xf numFmtId="4" fontId="11" fillId="0" borderId="12" xfId="0" applyNumberFormat="1" applyFont="1" applyBorder="1" applyAlignment="1" applyProtection="1">
      <alignment horizontal="right" wrapText="1"/>
      <protection locked="0"/>
    </xf>
    <xf numFmtId="4" fontId="21" fillId="4" borderId="23" xfId="0" applyNumberFormat="1" applyFont="1" applyFill="1" applyBorder="1" applyAlignment="1" applyProtection="1">
      <alignment horizontal="right" wrapText="1"/>
      <protection locked="0"/>
    </xf>
    <xf numFmtId="4" fontId="36" fillId="4" borderId="17" xfId="0" applyNumberFormat="1" applyFont="1" applyFill="1" applyBorder="1" applyAlignment="1" applyProtection="1">
      <alignment horizontal="right" wrapText="1"/>
      <protection locked="0"/>
    </xf>
    <xf numFmtId="4" fontId="36" fillId="4" borderId="12" xfId="0" applyNumberFormat="1" applyFont="1" applyFill="1" applyBorder="1" applyAlignment="1" applyProtection="1">
      <alignment horizontal="right" wrapText="1"/>
      <protection locked="0"/>
    </xf>
    <xf numFmtId="4" fontId="19" fillId="0" borderId="12" xfId="0" applyNumberFormat="1" applyFont="1" applyBorder="1" applyAlignment="1" applyProtection="1">
      <alignment horizontal="right" wrapText="1"/>
      <protection locked="0"/>
    </xf>
    <xf numFmtId="4" fontId="19" fillId="4" borderId="12" xfId="0" applyNumberFormat="1" applyFont="1" applyFill="1" applyBorder="1" applyAlignment="1" applyProtection="1">
      <alignment horizontal="right" wrapText="1"/>
      <protection locked="0"/>
    </xf>
    <xf numFmtId="4" fontId="19" fillId="0" borderId="13" xfId="0" applyNumberFormat="1" applyFont="1" applyBorder="1" applyAlignment="1" applyProtection="1">
      <alignment horizontal="right" wrapText="1"/>
      <protection locked="0"/>
    </xf>
    <xf numFmtId="4" fontId="21" fillId="4" borderId="1" xfId="0" applyNumberFormat="1" applyFont="1" applyFill="1" applyBorder="1" applyAlignment="1" applyProtection="1">
      <alignment horizontal="right" wrapText="1"/>
      <protection locked="0"/>
    </xf>
    <xf numFmtId="4" fontId="21" fillId="34" borderId="13" xfId="0" applyNumberFormat="1" applyFont="1" applyFill="1" applyBorder="1" applyAlignment="1" applyProtection="1">
      <alignment horizontal="right" wrapText="1"/>
      <protection locked="0"/>
    </xf>
    <xf numFmtId="4" fontId="74" fillId="0" borderId="17" xfId="0" applyNumberFormat="1" applyFont="1" applyBorder="1" applyAlignment="1" applyProtection="1">
      <alignment horizontal="right" wrapText="1"/>
      <protection locked="0"/>
    </xf>
    <xf numFmtId="4" fontId="11" fillId="4" borderId="17" xfId="0" applyNumberFormat="1" applyFont="1" applyFill="1" applyBorder="1" applyAlignment="1" applyProtection="1">
      <alignment horizontal="right" wrapText="1"/>
      <protection locked="0"/>
    </xf>
    <xf numFmtId="4" fontId="11" fillId="4" borderId="23" xfId="0" applyNumberFormat="1" applyFont="1" applyFill="1" applyBorder="1" applyAlignment="1" applyProtection="1">
      <alignment horizontal="right" wrapText="1"/>
      <protection locked="0"/>
    </xf>
    <xf numFmtId="4" fontId="74" fillId="0" borderId="13" xfId="0" applyNumberFormat="1" applyFont="1" applyBorder="1" applyAlignment="1" applyProtection="1">
      <alignment horizontal="right" wrapText="1"/>
      <protection locked="0"/>
    </xf>
    <xf numFmtId="4" fontId="12" fillId="31" borderId="26" xfId="0" applyNumberFormat="1" applyFont="1" applyFill="1" applyBorder="1" applyAlignment="1" applyProtection="1">
      <alignment horizontal="right" wrapText="1"/>
      <protection locked="0"/>
    </xf>
    <xf numFmtId="4" fontId="74" fillId="0" borderId="1" xfId="0" applyNumberFormat="1" applyFont="1" applyBorder="1" applyAlignment="1" applyProtection="1">
      <alignment horizontal="justify" vertical="top" wrapText="1"/>
      <protection locked="0"/>
    </xf>
    <xf numFmtId="4" fontId="11" fillId="0" borderId="0" xfId="0" applyNumberFormat="1" applyFont="1" applyAlignment="1" applyProtection="1">
      <alignment horizontal="right" wrapText="1"/>
      <protection locked="0"/>
    </xf>
    <xf numFmtId="0" fontId="89" fillId="0" borderId="0" xfId="0" applyFont="1" applyFill="1" applyBorder="1" applyAlignment="1">
      <alignment horizontal="justify" vertical="top" wrapText="1"/>
    </xf>
    <xf numFmtId="0" fontId="12" fillId="0" borderId="0" xfId="0" applyFont="1" applyFill="1" applyAlignment="1">
      <alignment horizontal="justify" vertical="top" wrapText="1"/>
    </xf>
    <xf numFmtId="4" fontId="38" fillId="0" borderId="0" xfId="0" applyNumberFormat="1" applyFont="1" applyFill="1" applyAlignment="1" applyProtection="1">
      <alignment horizontal="right"/>
      <protection locked="0"/>
    </xf>
    <xf numFmtId="4" fontId="19" fillId="0" borderId="0" xfId="63" applyNumberFormat="1" applyFont="1" applyAlignment="1" applyProtection="1">
      <alignment horizontal="right"/>
      <protection locked="0"/>
    </xf>
    <xf numFmtId="4" fontId="21" fillId="0" borderId="48" xfId="63" applyNumberFormat="1" applyFont="1" applyBorder="1" applyAlignment="1" applyProtection="1">
      <alignment horizontal="right"/>
      <protection locked="0"/>
    </xf>
    <xf numFmtId="4" fontId="19" fillId="0" borderId="17" xfId="63" applyNumberFormat="1" applyFont="1" applyBorder="1" applyAlignment="1" applyProtection="1">
      <alignment horizontal="right"/>
      <protection locked="0"/>
    </xf>
    <xf numFmtId="4" fontId="19" fillId="0" borderId="1" xfId="0" applyNumberFormat="1" applyFont="1" applyBorder="1" applyAlignment="1" applyProtection="1">
      <alignment horizontal="right"/>
      <protection locked="0"/>
    </xf>
    <xf numFmtId="4" fontId="19" fillId="0" borderId="23" xfId="63" applyNumberFormat="1" applyFont="1" applyBorder="1" applyAlignment="1" applyProtection="1">
      <alignment horizontal="right"/>
      <protection locked="0"/>
    </xf>
    <xf numFmtId="4" fontId="19" fillId="4" borderId="54" xfId="0" applyNumberFormat="1" applyFont="1" applyFill="1" applyBorder="1" applyAlignment="1" applyProtection="1">
      <alignment horizontal="right"/>
      <protection locked="0"/>
    </xf>
    <xf numFmtId="4" fontId="36" fillId="40" borderId="1" xfId="0" applyNumberFormat="1" applyFont="1" applyFill="1" applyBorder="1" applyAlignment="1" applyProtection="1">
      <alignment horizontal="center" wrapText="1"/>
      <protection locked="0"/>
    </xf>
    <xf numFmtId="4" fontId="19" fillId="0" borderId="1" xfId="63" applyNumberFormat="1" applyFont="1" applyBorder="1" applyAlignment="1" applyProtection="1">
      <alignment horizontal="right"/>
      <protection locked="0"/>
    </xf>
    <xf numFmtId="4" fontId="38" fillId="0" borderId="1" xfId="0" applyNumberFormat="1" applyFont="1" applyFill="1" applyBorder="1" applyAlignment="1" applyProtection="1">
      <alignment horizontal="right"/>
      <protection locked="0"/>
    </xf>
    <xf numFmtId="4" fontId="21" fillId="0" borderId="1" xfId="52" applyNumberFormat="1" applyFont="1" applyFill="1" applyBorder="1" applyAlignment="1" applyProtection="1">
      <alignment horizontal="right"/>
      <protection locked="0"/>
    </xf>
    <xf numFmtId="4" fontId="19" fillId="0" borderId="1" xfId="67" applyNumberFormat="1" applyFont="1" applyFill="1" applyBorder="1" applyAlignment="1" applyProtection="1">
      <alignment horizontal="right"/>
      <protection locked="0"/>
    </xf>
    <xf numFmtId="4" fontId="19" fillId="0" borderId="1" xfId="52" applyNumberFormat="1" applyFont="1" applyFill="1" applyBorder="1" applyAlignment="1" applyProtection="1">
      <alignment horizontal="right"/>
      <protection locked="0"/>
    </xf>
    <xf numFmtId="4" fontId="38" fillId="0" borderId="1" xfId="0" applyNumberFormat="1" applyFont="1" applyFill="1" applyBorder="1" applyAlignment="1" applyProtection="1">
      <alignment horizontal="right" wrapText="1"/>
      <protection locked="0"/>
    </xf>
    <xf numFmtId="4" fontId="39" fillId="0" borderId="1" xfId="0" applyNumberFormat="1" applyFont="1" applyFill="1" applyBorder="1" applyAlignment="1" applyProtection="1">
      <alignment horizontal="right" wrapText="1"/>
      <protection locked="0"/>
    </xf>
    <xf numFmtId="4" fontId="21" fillId="0" borderId="1" xfId="0" applyNumberFormat="1" applyFont="1" applyFill="1" applyBorder="1" applyAlignment="1" applyProtection="1">
      <alignment horizontal="right"/>
      <protection locked="0"/>
    </xf>
    <xf numFmtId="4" fontId="19" fillId="0" borderId="1" xfId="0" applyNumberFormat="1" applyFont="1" applyFill="1" applyBorder="1" applyAlignment="1" applyProtection="1">
      <alignment horizontal="right" wrapText="1"/>
      <protection locked="0"/>
    </xf>
    <xf numFmtId="4" fontId="19" fillId="0" borderId="0" xfId="62" applyNumberFormat="1" applyFont="1" applyFill="1" applyAlignment="1" applyProtection="1">
      <alignment horizontal="right"/>
      <protection locked="0"/>
    </xf>
    <xf numFmtId="4" fontId="19" fillId="0" borderId="0" xfId="0" applyNumberFormat="1" applyFont="1" applyAlignment="1" applyProtection="1">
      <alignment horizontal="right"/>
      <protection locked="0"/>
    </xf>
    <xf numFmtId="4" fontId="44" fillId="0" borderId="0" xfId="63" applyNumberFormat="1" applyFont="1" applyAlignment="1" applyProtection="1">
      <alignment/>
      <protection locked="0"/>
    </xf>
    <xf numFmtId="4" fontId="44" fillId="0" borderId="22" xfId="63" applyNumberFormat="1" applyFont="1" applyBorder="1" applyAlignment="1" applyProtection="1">
      <alignment horizontal="left"/>
      <protection locked="0"/>
    </xf>
    <xf numFmtId="4" fontId="0" fillId="0" borderId="24" xfId="63" applyNumberFormat="1" applyFont="1" applyBorder="1" applyAlignment="1" applyProtection="1">
      <alignment/>
      <protection locked="0"/>
    </xf>
    <xf numFmtId="4" fontId="0" fillId="0" borderId="0" xfId="63" applyNumberFormat="1" applyFont="1" applyBorder="1" applyAlignment="1" applyProtection="1">
      <alignment/>
      <protection locked="0"/>
    </xf>
    <xf numFmtId="4" fontId="44" fillId="0" borderId="0" xfId="63" applyNumberFormat="1" applyFont="1" applyBorder="1" applyAlignment="1" applyProtection="1">
      <alignment/>
      <protection locked="0"/>
    </xf>
    <xf numFmtId="4" fontId="46" fillId="0" borderId="57" xfId="63" applyNumberFormat="1" applyFont="1" applyBorder="1" applyProtection="1">
      <alignment/>
      <protection locked="0"/>
    </xf>
    <xf numFmtId="4" fontId="0" fillId="0" borderId="0" xfId="63" applyNumberFormat="1" applyFont="1" applyAlignment="1" applyProtection="1">
      <alignment/>
      <protection locked="0"/>
    </xf>
    <xf numFmtId="4" fontId="44" fillId="0" borderId="0" xfId="52" applyNumberFormat="1" applyFont="1" applyFill="1" applyBorder="1" applyAlignment="1" applyProtection="1">
      <alignment horizontal="center"/>
      <protection locked="0"/>
    </xf>
    <xf numFmtId="4" fontId="44" fillId="0" borderId="19" xfId="52" applyNumberFormat="1" applyFont="1" applyFill="1" applyBorder="1" applyAlignment="1" applyProtection="1">
      <alignment horizontal="center"/>
      <protection locked="0"/>
    </xf>
    <xf numFmtId="4" fontId="41" fillId="0" borderId="0" xfId="0" applyNumberFormat="1" applyFont="1" applyFill="1" applyBorder="1" applyAlignment="1" applyProtection="1">
      <alignment horizontal="center"/>
      <protection locked="0"/>
    </xf>
    <xf numFmtId="4" fontId="0" fillId="0" borderId="0" xfId="64" applyNumberFormat="1" applyFont="1" applyFill="1" applyBorder="1" applyAlignment="1" applyProtection="1">
      <alignment horizontal="right" vertical="top"/>
      <protection locked="0"/>
    </xf>
    <xf numFmtId="4" fontId="41" fillId="0" borderId="0" xfId="0" applyNumberFormat="1" applyFont="1" applyFill="1" applyBorder="1" applyAlignment="1" applyProtection="1">
      <alignment horizontal="center" wrapText="1"/>
      <protection locked="0"/>
    </xf>
    <xf numFmtId="4" fontId="0" fillId="0" borderId="0" xfId="0" applyNumberFormat="1" applyAlignment="1" applyProtection="1">
      <alignment horizontal="right" vertical="top" wrapText="1"/>
      <protection locked="0"/>
    </xf>
    <xf numFmtId="4" fontId="109" fillId="0" borderId="0" xfId="0" applyNumberFormat="1" applyFont="1" applyAlignment="1" applyProtection="1">
      <alignment horizontal="right" wrapText="1"/>
      <protection locked="0"/>
    </xf>
    <xf numFmtId="4" fontId="36" fillId="0" borderId="0" xfId="0" applyNumberFormat="1" applyFont="1" applyAlignment="1" applyProtection="1">
      <alignment horizontal="right"/>
      <protection locked="0"/>
    </xf>
    <xf numFmtId="4" fontId="22" fillId="4" borderId="47" xfId="0" applyNumberFormat="1" applyFont="1" applyFill="1" applyBorder="1" applyAlignment="1" applyProtection="1">
      <alignment horizontal="right" wrapText="1"/>
      <protection locked="0"/>
    </xf>
    <xf numFmtId="4" fontId="36" fillId="0" borderId="0" xfId="0" applyNumberFormat="1" applyFont="1" applyAlignment="1" applyProtection="1">
      <alignment/>
      <protection locked="0"/>
    </xf>
    <xf numFmtId="4" fontId="20" fillId="0" borderId="37" xfId="67" applyNumberFormat="1" applyFont="1" applyBorder="1" applyAlignment="1" applyProtection="1">
      <alignment horizontal="center"/>
      <protection locked="0"/>
    </xf>
    <xf numFmtId="4" fontId="36" fillId="0" borderId="0" xfId="67" applyNumberFormat="1" applyFont="1" applyAlignment="1" applyProtection="1">
      <alignment horizontal="right"/>
      <protection locked="0"/>
    </xf>
    <xf numFmtId="4" fontId="21" fillId="0" borderId="47" xfId="67" applyNumberFormat="1" applyFont="1" applyBorder="1" applyAlignment="1" applyProtection="1">
      <alignment horizontal="right"/>
      <protection locked="0"/>
    </xf>
    <xf numFmtId="4" fontId="22" fillId="0" borderId="47" xfId="0" applyNumberFormat="1" applyFont="1" applyBorder="1" applyAlignment="1" applyProtection="1">
      <alignment horizontal="right" wrapText="1"/>
      <protection locked="0"/>
    </xf>
    <xf numFmtId="4" fontId="22" fillId="0" borderId="0" xfId="0" applyNumberFormat="1" applyFont="1" applyBorder="1" applyAlignment="1" applyProtection="1">
      <alignment horizontal="right" wrapText="1"/>
      <protection locked="0"/>
    </xf>
    <xf numFmtId="4" fontId="22" fillId="0" borderId="14" xfId="0" applyNumberFormat="1" applyFont="1" applyBorder="1" applyAlignment="1" applyProtection="1">
      <alignment horizontal="center" vertical="top" wrapText="1"/>
      <protection locked="0"/>
    </xf>
    <xf numFmtId="4" fontId="22" fillId="4" borderId="47" xfId="0" applyNumberFormat="1" applyFont="1" applyFill="1" applyBorder="1" applyAlignment="1" applyProtection="1">
      <alignment horizontal="right"/>
      <protection locked="0"/>
    </xf>
    <xf numFmtId="4" fontId="36" fillId="0" borderId="1" xfId="0" applyNumberFormat="1" applyFont="1" applyBorder="1" applyAlignment="1" applyProtection="1">
      <alignment horizontal="right"/>
      <protection locked="0"/>
    </xf>
    <xf numFmtId="4" fontId="36" fillId="0" borderId="23" xfId="0" applyNumberFormat="1" applyFont="1" applyBorder="1" applyAlignment="1" applyProtection="1">
      <alignment horizontal="right"/>
      <protection locked="0"/>
    </xf>
    <xf numFmtId="4" fontId="36" fillId="0" borderId="48" xfId="0" applyNumberFormat="1" applyFont="1" applyBorder="1" applyAlignment="1" applyProtection="1">
      <alignment horizontal="right"/>
      <protection locked="0"/>
    </xf>
    <xf numFmtId="4" fontId="36" fillId="0" borderId="0" xfId="0" applyNumberFormat="1" applyFont="1" applyFill="1" applyAlignment="1" applyProtection="1">
      <alignment horizontal="right" wrapText="1"/>
      <protection locked="0"/>
    </xf>
    <xf numFmtId="0" fontId="12" fillId="0" borderId="0" xfId="0" applyFont="1" applyFill="1" applyAlignment="1" applyProtection="1">
      <alignment horizontal="justify" vertical="top" wrapText="1"/>
      <protection locked="0"/>
    </xf>
    <xf numFmtId="0" fontId="12" fillId="0" borderId="0" xfId="0" applyFont="1" applyFill="1" applyAlignment="1" applyProtection="1">
      <alignment horizontal="right" wrapText="1"/>
      <protection locked="0"/>
    </xf>
    <xf numFmtId="0" fontId="36" fillId="0" borderId="0" xfId="0" applyFont="1" applyFill="1" applyAlignment="1" applyProtection="1">
      <alignment horizontal="right" wrapText="1"/>
      <protection locked="0"/>
    </xf>
    <xf numFmtId="4" fontId="12" fillId="0" borderId="22" xfId="0" applyNumberFormat="1" applyFont="1" applyFill="1" applyBorder="1" applyAlignment="1" applyProtection="1">
      <alignment horizontal="right" wrapText="1"/>
      <protection locked="0"/>
    </xf>
    <xf numFmtId="4" fontId="21" fillId="4" borderId="14" xfId="0" applyNumberFormat="1" applyFont="1" applyFill="1" applyBorder="1" applyAlignment="1" applyProtection="1">
      <alignment horizontal="right" wrapText="1"/>
      <protection locked="0"/>
    </xf>
    <xf numFmtId="4" fontId="36" fillId="0" borderId="0" xfId="0" applyNumberFormat="1" applyFont="1" applyFill="1" applyBorder="1" applyAlignment="1" applyProtection="1">
      <alignment horizontal="right" wrapText="1"/>
      <protection locked="0"/>
    </xf>
    <xf numFmtId="4" fontId="36" fillId="4" borderId="47" xfId="0" applyNumberFormat="1" applyFont="1" applyFill="1" applyBorder="1" applyAlignment="1" applyProtection="1">
      <alignment horizontal="right" wrapText="1"/>
      <protection locked="0"/>
    </xf>
    <xf numFmtId="4" fontId="36" fillId="4" borderId="47" xfId="71" applyNumberFormat="1" applyFont="1" applyFill="1" applyBorder="1" applyAlignment="1" applyProtection="1">
      <alignment horizontal="right" wrapText="1"/>
      <protection locked="0"/>
    </xf>
    <xf numFmtId="4" fontId="36" fillId="4" borderId="47" xfId="60" applyNumberFormat="1" applyFont="1" applyFill="1" applyBorder="1" applyAlignment="1" applyProtection="1">
      <alignment horizontal="right" wrapText="1"/>
      <protection locked="0"/>
    </xf>
    <xf numFmtId="0" fontId="12" fillId="0" borderId="49" xfId="0" applyFont="1" applyFill="1" applyBorder="1" applyAlignment="1" applyProtection="1">
      <alignment horizontal="right" wrapText="1"/>
      <protection locked="0"/>
    </xf>
    <xf numFmtId="4" fontId="36" fillId="0" borderId="47" xfId="0" applyNumberFormat="1" applyFont="1" applyFill="1" applyBorder="1" applyAlignment="1" applyProtection="1">
      <alignment horizontal="right" wrapText="1"/>
      <protection locked="0"/>
    </xf>
    <xf numFmtId="0" fontId="36" fillId="0" borderId="0" xfId="0" applyFont="1" applyAlignment="1" applyProtection="1">
      <alignment horizontal="right" wrapText="1"/>
      <protection locked="0"/>
    </xf>
    <xf numFmtId="4" fontId="44" fillId="0" borderId="57" xfId="63" applyNumberFormat="1" applyFont="1" applyBorder="1">
      <alignment/>
      <protection/>
    </xf>
    <xf numFmtId="4" fontId="110" fillId="0" borderId="0" xfId="0" applyNumberFormat="1" applyFont="1" applyAlignment="1">
      <alignment horizontal="right" wrapText="1"/>
    </xf>
    <xf numFmtId="4" fontId="111" fillId="0" borderId="0" xfId="0" applyNumberFormat="1" applyFont="1" applyAlignment="1">
      <alignment horizontal="center" vertical="top" wrapText="1"/>
    </xf>
    <xf numFmtId="4" fontId="44" fillId="0" borderId="57" xfId="63" applyNumberFormat="1" applyFont="1" applyBorder="1" applyProtection="1">
      <alignment/>
      <protection locked="0"/>
    </xf>
    <xf numFmtId="0" fontId="19" fillId="0" borderId="1" xfId="0" applyFont="1" applyBorder="1" applyAlignment="1">
      <alignment vertical="top" wrapText="1"/>
    </xf>
    <xf numFmtId="0" fontId="41" fillId="0" borderId="0" xfId="0" applyFont="1" applyFill="1" applyAlignment="1">
      <alignment/>
    </xf>
    <xf numFmtId="0" fontId="44" fillId="0" borderId="22" xfId="63" applyFont="1" applyBorder="1" applyAlignment="1">
      <alignment/>
      <protection/>
    </xf>
    <xf numFmtId="0" fontId="44" fillId="0" borderId="22" xfId="63" applyFont="1" applyBorder="1" applyAlignment="1">
      <alignment horizontal="left"/>
      <protection/>
    </xf>
    <xf numFmtId="183" fontId="44" fillId="0" borderId="22" xfId="63" applyNumberFormat="1" applyFont="1" applyBorder="1" applyAlignment="1">
      <alignment horizontal="right"/>
      <protection/>
    </xf>
    <xf numFmtId="0" fontId="0" fillId="0" borderId="0" xfId="63" applyAlignment="1">
      <alignment horizontal="right" vertical="top"/>
      <protection/>
    </xf>
    <xf numFmtId="0" fontId="0" fillId="0" borderId="24" xfId="63" applyNumberFormat="1" applyBorder="1" applyAlignment="1">
      <alignment wrapText="1"/>
      <protection/>
    </xf>
    <xf numFmtId="0" fontId="0" fillId="0" borderId="24" xfId="63" applyBorder="1" applyAlignment="1">
      <alignment/>
      <protection/>
    </xf>
    <xf numFmtId="183" fontId="0" fillId="0" borderId="24" xfId="63" applyNumberFormat="1" applyBorder="1">
      <alignment/>
      <protection/>
    </xf>
    <xf numFmtId="49" fontId="0" fillId="0" borderId="0" xfId="63" applyNumberFormat="1" applyFont="1" applyAlignment="1">
      <alignment horizontal="center" vertical="top"/>
      <protection/>
    </xf>
    <xf numFmtId="0" fontId="0" fillId="0" borderId="0" xfId="63" applyNumberFormat="1" applyBorder="1" applyAlignment="1">
      <alignment wrapText="1"/>
      <protection/>
    </xf>
    <xf numFmtId="0" fontId="0" fillId="0" borderId="0" xfId="63" applyBorder="1" applyAlignment="1">
      <alignment/>
      <protection/>
    </xf>
    <xf numFmtId="183" fontId="0" fillId="0" borderId="0" xfId="63" applyNumberFormat="1" applyBorder="1">
      <alignment/>
      <protection/>
    </xf>
    <xf numFmtId="0" fontId="0" fillId="0" borderId="0" xfId="63" applyNumberFormat="1" applyFont="1" applyBorder="1" applyAlignment="1">
      <alignment wrapText="1"/>
      <protection/>
    </xf>
    <xf numFmtId="0" fontId="0" fillId="0" borderId="57" xfId="63" applyBorder="1" applyAlignment="1">
      <alignment horizontal="right" vertical="top"/>
      <protection/>
    </xf>
    <xf numFmtId="0" fontId="46" fillId="0" borderId="57" xfId="63" applyNumberFormat="1" applyFont="1" applyBorder="1" applyAlignment="1">
      <alignment horizontal="left" wrapText="1"/>
      <protection/>
    </xf>
    <xf numFmtId="183" fontId="46" fillId="0" borderId="57" xfId="63" applyNumberFormat="1" applyFont="1" applyBorder="1">
      <alignment/>
      <protection/>
    </xf>
    <xf numFmtId="0" fontId="0" fillId="0" borderId="0" xfId="63" applyNumberFormat="1" applyAlignment="1">
      <alignment wrapText="1"/>
      <protection/>
    </xf>
    <xf numFmtId="0" fontId="0" fillId="0" borderId="0" xfId="63" applyAlignment="1">
      <alignment/>
      <protection/>
    </xf>
    <xf numFmtId="0" fontId="0" fillId="0" borderId="0" xfId="63">
      <alignment/>
      <protection/>
    </xf>
    <xf numFmtId="0" fontId="44" fillId="0" borderId="0" xfId="63" applyNumberFormat="1" applyFont="1" applyAlignment="1">
      <alignment wrapText="1"/>
      <protection/>
    </xf>
    <xf numFmtId="0" fontId="0" fillId="0" borderId="0" xfId="63" applyNumberFormat="1" applyFont="1" applyAlignment="1">
      <alignment wrapText="1"/>
      <protection/>
    </xf>
    <xf numFmtId="0" fontId="47" fillId="0" borderId="0" xfId="0" applyNumberFormat="1" applyFont="1" applyAlignment="1">
      <alignment horizontal="left" vertical="top" wrapText="1"/>
    </xf>
    <xf numFmtId="0" fontId="41" fillId="0" borderId="0" xfId="0" applyNumberFormat="1" applyFont="1" applyAlignment="1">
      <alignment horizontal="left" vertical="top" wrapText="1"/>
    </xf>
    <xf numFmtId="0" fontId="41" fillId="0" borderId="0" xfId="0" applyFont="1" applyFill="1" applyAlignment="1">
      <alignment horizontal="right" vertical="top"/>
    </xf>
    <xf numFmtId="0" fontId="44" fillId="0" borderId="0" xfId="52" applyNumberFormat="1" applyFont="1" applyFill="1" applyAlignment="1" applyProtection="1">
      <alignment horizontal="left" vertical="top" wrapText="1"/>
      <protection/>
    </xf>
    <xf numFmtId="0" fontId="44" fillId="0" borderId="0" xfId="52" applyFont="1" applyFill="1" applyBorder="1" applyAlignment="1" applyProtection="1">
      <alignment horizontal="center"/>
      <protection/>
    </xf>
    <xf numFmtId="0" fontId="0" fillId="0" borderId="0" xfId="52" applyFont="1" applyFill="1" applyAlignment="1" applyProtection="1">
      <alignment horizontal="right"/>
      <protection/>
    </xf>
    <xf numFmtId="0" fontId="44" fillId="0" borderId="0" xfId="52" applyFont="1" applyFill="1" applyBorder="1" applyAlignment="1" applyProtection="1">
      <alignment horizontal="justify" vertical="top" wrapText="1"/>
      <protection/>
    </xf>
    <xf numFmtId="0" fontId="0" fillId="0" borderId="0" xfId="0" applyAlignment="1">
      <alignment horizontal="justify" wrapText="1"/>
    </xf>
    <xf numFmtId="0" fontId="41" fillId="0" borderId="0" xfId="0" applyFont="1" applyFill="1" applyAlignment="1">
      <alignment/>
    </xf>
    <xf numFmtId="0" fontId="44" fillId="0" borderId="0" xfId="52" applyNumberFormat="1" applyFont="1" applyFill="1" applyAlignment="1" applyProtection="1">
      <alignment horizontal="justify" vertical="top" wrapText="1"/>
      <protection/>
    </xf>
    <xf numFmtId="0" fontId="41" fillId="0" borderId="0" xfId="0" applyFont="1" applyFill="1" applyBorder="1" applyAlignment="1">
      <alignment horizontal="justify" wrapText="1"/>
    </xf>
    <xf numFmtId="0" fontId="41" fillId="0" borderId="0" xfId="0" applyNumberFormat="1" applyFont="1" applyAlignment="1">
      <alignment horizontal="justify" vertical="top" wrapText="1"/>
    </xf>
    <xf numFmtId="0" fontId="0" fillId="0" borderId="0" xfId="0" applyNumberFormat="1" applyAlignment="1">
      <alignment horizontal="justify" vertical="top" wrapText="1"/>
    </xf>
    <xf numFmtId="0" fontId="41" fillId="0" borderId="0" xfId="0" applyNumberFormat="1" applyFont="1" applyAlignment="1">
      <alignment horizontal="justify" wrapText="1"/>
    </xf>
    <xf numFmtId="0" fontId="41" fillId="0" borderId="0" xfId="0" applyFont="1" applyFill="1" applyAlignment="1">
      <alignment horizontal="justify" wrapText="1"/>
    </xf>
    <xf numFmtId="0" fontId="41" fillId="0" borderId="0" xfId="0" applyFont="1" applyAlignment="1">
      <alignment horizontal="justify" wrapText="1"/>
    </xf>
    <xf numFmtId="0" fontId="41" fillId="0" borderId="0" xfId="0" applyFont="1" applyFill="1" applyAlignment="1">
      <alignment horizontal="center"/>
    </xf>
    <xf numFmtId="0" fontId="44" fillId="0" borderId="0" xfId="52" applyFont="1" applyFill="1" applyAlignment="1" applyProtection="1">
      <alignment horizontal="right" vertical="top"/>
      <protection/>
    </xf>
    <xf numFmtId="0" fontId="44" fillId="0" borderId="19" xfId="52" applyNumberFormat="1" applyFont="1" applyFill="1" applyBorder="1" applyAlignment="1" applyProtection="1">
      <alignment vertical="center" wrapText="1"/>
      <protection/>
    </xf>
    <xf numFmtId="0" fontId="44" fillId="0" borderId="19" xfId="52" applyFont="1" applyFill="1" applyBorder="1" applyAlignment="1" applyProtection="1">
      <alignment horizontal="center"/>
      <protection/>
    </xf>
    <xf numFmtId="183" fontId="44" fillId="0" borderId="19" xfId="52" applyNumberFormat="1" applyFont="1" applyFill="1" applyBorder="1" applyAlignment="1" applyProtection="1">
      <alignment horizontal="right"/>
      <protection/>
    </xf>
    <xf numFmtId="0" fontId="47" fillId="0" borderId="0" xfId="0" applyNumberFormat="1" applyFont="1" applyAlignment="1">
      <alignment vertical="center" wrapText="1"/>
    </xf>
    <xf numFmtId="0" fontId="41" fillId="0" borderId="0" xfId="0" applyFont="1" applyAlignment="1">
      <alignment horizontal="center"/>
    </xf>
    <xf numFmtId="0" fontId="41" fillId="0" borderId="0" xfId="0" applyFont="1" applyFill="1" applyAlignment="1">
      <alignment horizontal="right"/>
    </xf>
    <xf numFmtId="49" fontId="44" fillId="0" borderId="0" xfId="52" applyNumberFormat="1" applyFont="1" applyFill="1" applyBorder="1" applyAlignment="1">
      <alignment horizontal="right" vertical="top"/>
      <protection/>
    </xf>
    <xf numFmtId="0" fontId="44" fillId="0" borderId="0" xfId="52" applyNumberFormat="1" applyFont="1" applyFill="1" applyBorder="1" applyAlignment="1">
      <alignment vertical="center" wrapText="1"/>
      <protection/>
    </xf>
    <xf numFmtId="0" fontId="44" fillId="0" borderId="0" xfId="52" applyFont="1" applyFill="1" applyBorder="1" applyAlignment="1">
      <alignment horizontal="center"/>
      <protection/>
    </xf>
    <xf numFmtId="183" fontId="44" fillId="0" borderId="1" xfId="52" applyNumberFormat="1" applyFont="1" applyFill="1" applyBorder="1" applyAlignment="1">
      <alignment horizontal="right"/>
      <protection/>
    </xf>
    <xf numFmtId="0" fontId="41" fillId="0" borderId="0" xfId="51" applyFont="1" applyFill="1" applyAlignment="1" applyProtection="1">
      <alignment horizontal="right"/>
      <protection/>
    </xf>
    <xf numFmtId="0" fontId="47" fillId="0" borderId="0" xfId="51" applyNumberFormat="1" applyFont="1" applyAlignment="1" applyProtection="1">
      <alignment horizontal="left" wrapText="1"/>
      <protection/>
    </xf>
    <xf numFmtId="0" fontId="41" fillId="0" borderId="0" xfId="51" applyFont="1" applyAlignment="1" applyProtection="1">
      <alignment horizontal="center" wrapText="1"/>
      <protection/>
    </xf>
    <xf numFmtId="0" fontId="41" fillId="0" borderId="0" xfId="51" applyFont="1" applyFill="1" applyAlignment="1" applyProtection="1">
      <alignment horizontal="right"/>
      <protection locked="0"/>
    </xf>
    <xf numFmtId="4" fontId="41" fillId="0" borderId="0" xfId="51" applyNumberFormat="1" applyFont="1" applyFill="1" applyAlignment="1" applyProtection="1">
      <alignment horizontal="right"/>
      <protection/>
    </xf>
    <xf numFmtId="0" fontId="41" fillId="0" borderId="0" xfId="51" applyNumberFormat="1" applyFont="1" applyAlignment="1" applyProtection="1">
      <alignment horizontal="justify" wrapText="1"/>
      <protection/>
    </xf>
    <xf numFmtId="209" fontId="0" fillId="0" borderId="0" xfId="54" applyNumberFormat="1" applyFont="1" applyAlignment="1" applyProtection="1">
      <alignment horizontal="right" vertical="top"/>
      <protection/>
    </xf>
    <xf numFmtId="0" fontId="41" fillId="0" borderId="0" xfId="51" applyNumberFormat="1" applyFont="1" applyAlignment="1" applyProtection="1">
      <alignment horizontal="left" wrapText="1"/>
      <protection/>
    </xf>
    <xf numFmtId="0" fontId="0" fillId="0" borderId="0" xfId="51" applyNumberFormat="1" applyFont="1" applyAlignment="1" applyProtection="1">
      <alignment horizontal="left" wrapText="1"/>
      <protection/>
    </xf>
    <xf numFmtId="2" fontId="41" fillId="0" borderId="0" xfId="51" applyNumberFormat="1" applyFont="1" applyAlignment="1" applyProtection="1">
      <alignment horizontal="center" wrapText="1"/>
      <protection/>
    </xf>
    <xf numFmtId="183" fontId="0" fillId="40" borderId="1" xfId="54" applyNumberFormat="1" applyFont="1" applyFill="1" applyBorder="1" applyAlignment="1" applyProtection="1">
      <alignment horizontal="right"/>
      <protection locked="0"/>
    </xf>
    <xf numFmtId="183" fontId="0" fillId="0" borderId="0" xfId="52" applyNumberFormat="1" applyFont="1" applyFill="1" applyBorder="1" applyAlignment="1" applyProtection="1">
      <alignment horizontal="right"/>
      <protection/>
    </xf>
    <xf numFmtId="0" fontId="41" fillId="0" borderId="0" xfId="0" applyNumberFormat="1" applyFont="1" applyAlignment="1">
      <alignment vertical="top" wrapText="1"/>
    </xf>
    <xf numFmtId="0" fontId="41" fillId="0" borderId="0" xfId="0" applyNumberFormat="1" applyFont="1" applyFill="1" applyAlignment="1">
      <alignment wrapText="1"/>
    </xf>
    <xf numFmtId="0" fontId="41" fillId="0" borderId="0" xfId="46" applyFont="1" applyFill="1" applyAlignment="1">
      <alignment horizontal="center" wrapText="1"/>
      <protection/>
    </xf>
    <xf numFmtId="0" fontId="41" fillId="0" borderId="0" xfId="51" applyFont="1" applyAlignment="1" applyProtection="1">
      <alignment horizontal="center"/>
      <protection/>
    </xf>
    <xf numFmtId="0" fontId="41" fillId="0" borderId="0" xfId="51" applyNumberFormat="1" applyFont="1" applyAlignment="1" applyProtection="1" quotePrefix="1">
      <alignment horizontal="left" wrapText="1"/>
      <protection/>
    </xf>
    <xf numFmtId="0" fontId="41" fillId="0" borderId="0" xfId="51" applyNumberFormat="1" applyFont="1" applyAlignment="1" applyProtection="1">
      <alignment wrapText="1"/>
      <protection/>
    </xf>
    <xf numFmtId="0" fontId="41" fillId="0" borderId="0" xfId="51" applyNumberFormat="1" applyFont="1" applyFill="1" applyAlignment="1" applyProtection="1">
      <alignment horizontal="left" wrapText="1"/>
      <protection/>
    </xf>
    <xf numFmtId="4" fontId="0" fillId="0" borderId="0" xfId="89" applyNumberFormat="1" applyFont="1" applyFill="1" applyAlignment="1" applyProtection="1">
      <alignment horizontal="right"/>
      <protection/>
    </xf>
    <xf numFmtId="0" fontId="41" fillId="0" borderId="0" xfId="0" applyNumberFormat="1" applyFont="1" applyFill="1" applyAlignment="1">
      <alignment vertical="top" wrapText="1"/>
    </xf>
    <xf numFmtId="2" fontId="41" fillId="0" borderId="0" xfId="0" applyNumberFormat="1" applyFont="1" applyFill="1" applyAlignment="1">
      <alignment horizontal="center"/>
    </xf>
    <xf numFmtId="0" fontId="41" fillId="0" borderId="0" xfId="0" applyFont="1" applyAlignment="1">
      <alignment horizontal="right"/>
    </xf>
    <xf numFmtId="209" fontId="0" fillId="0" borderId="0" xfId="52" applyNumberFormat="1" applyFont="1" applyFill="1" applyAlignment="1">
      <alignment vertical="top"/>
      <protection/>
    </xf>
    <xf numFmtId="0" fontId="41" fillId="0" borderId="0" xfId="0" applyFont="1" applyAlignment="1">
      <alignment horizontal="center" wrapText="1"/>
    </xf>
    <xf numFmtId="2" fontId="41" fillId="0" borderId="0" xfId="0" applyNumberFormat="1" applyFont="1" applyAlignment="1">
      <alignment horizontal="center" wrapText="1"/>
    </xf>
    <xf numFmtId="183" fontId="0" fillId="40" borderId="1" xfId="52" applyNumberFormat="1" applyFont="1" applyFill="1" applyBorder="1" applyAlignment="1" applyProtection="1">
      <alignment horizontal="right"/>
      <protection locked="0"/>
    </xf>
    <xf numFmtId="0" fontId="41" fillId="0" borderId="0" xfId="0" applyNumberFormat="1" applyFont="1" applyAlignment="1">
      <alignment wrapText="1"/>
    </xf>
    <xf numFmtId="2" fontId="41" fillId="0" borderId="0" xfId="0" applyNumberFormat="1" applyFont="1" applyAlignment="1">
      <alignment horizontal="center"/>
    </xf>
    <xf numFmtId="0" fontId="41" fillId="0" borderId="0" xfId="0" applyNumberFormat="1" applyFont="1" applyAlignment="1">
      <alignment horizontal="left" wrapText="1"/>
    </xf>
    <xf numFmtId="0" fontId="41" fillId="0" borderId="0" xfId="0" applyNumberFormat="1" applyFont="1" applyAlignment="1" quotePrefix="1">
      <alignment horizontal="left" wrapText="1"/>
    </xf>
    <xf numFmtId="0" fontId="41" fillId="0" borderId="0" xfId="0" applyNumberFormat="1" applyFont="1" applyFill="1" applyAlignment="1" quotePrefix="1">
      <alignment horizontal="left" wrapText="1"/>
    </xf>
    <xf numFmtId="0" fontId="41" fillId="0" borderId="0" xfId="51" applyFont="1" applyFill="1" applyAlignment="1" applyProtection="1">
      <alignment horizontal="center" wrapText="1"/>
      <protection/>
    </xf>
    <xf numFmtId="2" fontId="41" fillId="0" borderId="0" xfId="51" applyNumberFormat="1" applyFont="1" applyFill="1" applyAlignment="1" applyProtection="1">
      <alignment horizontal="center" wrapText="1"/>
      <protection/>
    </xf>
    <xf numFmtId="0" fontId="41" fillId="0" borderId="0" xfId="0" applyNumberFormat="1" applyFont="1" applyFill="1" applyAlignment="1">
      <alignment horizontal="left" wrapText="1"/>
    </xf>
    <xf numFmtId="0" fontId="41" fillId="0" borderId="0" xfId="51" applyNumberFormat="1" applyFont="1" applyFill="1" applyAlignment="1" applyProtection="1">
      <alignment wrapText="1"/>
      <protection/>
    </xf>
    <xf numFmtId="0" fontId="41" fillId="0" borderId="0" xfId="51" applyFont="1" applyFill="1" applyAlignment="1" applyProtection="1">
      <alignment horizontal="center"/>
      <protection/>
    </xf>
    <xf numFmtId="2" fontId="41" fillId="0" borderId="0" xfId="51" applyNumberFormat="1" applyFont="1" applyFill="1" applyAlignment="1" applyProtection="1">
      <alignment horizontal="center"/>
      <protection/>
    </xf>
    <xf numFmtId="0" fontId="41" fillId="0" borderId="0" xfId="0" applyFont="1" applyFill="1" applyAlignment="1">
      <alignment horizontal="center" wrapText="1"/>
    </xf>
    <xf numFmtId="2" fontId="41" fillId="0" borderId="0" xfId="0" applyNumberFormat="1" applyFont="1" applyFill="1" applyAlignment="1">
      <alignment horizontal="center" wrapText="1"/>
    </xf>
    <xf numFmtId="0" fontId="41" fillId="0" borderId="0" xfId="48" applyFont="1" applyFill="1" applyAlignment="1" applyProtection="1">
      <alignment horizontal="center" wrapText="1"/>
      <protection/>
    </xf>
    <xf numFmtId="2" fontId="41" fillId="0" borderId="0" xfId="48" applyNumberFormat="1" applyFont="1" applyFill="1" applyAlignment="1" applyProtection="1">
      <alignment horizontal="center" wrapText="1"/>
      <protection/>
    </xf>
    <xf numFmtId="0" fontId="41" fillId="0" borderId="0" xfId="51" applyNumberFormat="1" applyFont="1" applyFill="1" applyAlignment="1" applyProtection="1">
      <alignment vertical="center" wrapText="1"/>
      <protection/>
    </xf>
    <xf numFmtId="183" fontId="0" fillId="0" borderId="0" xfId="54" applyNumberFormat="1" applyFont="1" applyFill="1" applyBorder="1" applyAlignment="1" applyProtection="1">
      <alignment horizontal="right"/>
      <protection locked="0"/>
    </xf>
    <xf numFmtId="4" fontId="0" fillId="0" borderId="0" xfId="54" applyNumberFormat="1" applyFont="1" applyBorder="1" applyAlignment="1" applyProtection="1">
      <alignment horizontal="right"/>
      <protection/>
    </xf>
    <xf numFmtId="0" fontId="41" fillId="0" borderId="0" xfId="0" applyFont="1" applyFill="1" applyAlignment="1" applyProtection="1">
      <alignment horizontal="right"/>
      <protection/>
    </xf>
    <xf numFmtId="0" fontId="41" fillId="0" borderId="0" xfId="0" applyNumberFormat="1" applyFont="1" applyFill="1" applyAlignment="1" applyProtection="1">
      <alignment vertical="top" wrapText="1"/>
      <protection/>
    </xf>
    <xf numFmtId="0" fontId="41" fillId="0" borderId="0" xfId="0" applyFont="1" applyFill="1" applyAlignment="1" applyProtection="1">
      <alignment horizontal="center"/>
      <protection/>
    </xf>
    <xf numFmtId="2" fontId="41" fillId="0" borderId="0" xfId="0" applyNumberFormat="1" applyFont="1" applyFill="1" applyAlignment="1" applyProtection="1">
      <alignment horizontal="center"/>
      <protection/>
    </xf>
    <xf numFmtId="0" fontId="41" fillId="0" borderId="0" xfId="0" applyFont="1" applyFill="1" applyAlignment="1" applyProtection="1">
      <alignment horizontal="right"/>
      <protection locked="0"/>
    </xf>
    <xf numFmtId="4" fontId="41" fillId="0" borderId="0" xfId="0" applyNumberFormat="1" applyFont="1" applyFill="1" applyAlignment="1" applyProtection="1">
      <alignment horizontal="right"/>
      <protection/>
    </xf>
    <xf numFmtId="0" fontId="0" fillId="0" borderId="0" xfId="51" applyNumberFormat="1" applyFont="1" applyFill="1" applyAlignment="1" applyProtection="1">
      <alignment wrapText="1"/>
      <protection/>
    </xf>
    <xf numFmtId="183" fontId="0" fillId="40" borderId="1" xfId="52" applyNumberFormat="1" applyFont="1" applyFill="1" applyBorder="1" applyProtection="1">
      <alignment/>
      <protection locked="0"/>
    </xf>
    <xf numFmtId="0" fontId="41" fillId="0" borderId="0" xfId="51" applyNumberFormat="1" applyFont="1" applyFill="1" applyAlignment="1" applyProtection="1">
      <alignment vertical="top" wrapText="1"/>
      <protection/>
    </xf>
    <xf numFmtId="0" fontId="41" fillId="0" borderId="0" xfId="51" applyFont="1" applyAlignment="1" applyProtection="1">
      <alignment horizontal="right"/>
      <protection locked="0"/>
    </xf>
    <xf numFmtId="4" fontId="41" fillId="0" borderId="0" xfId="51" applyNumberFormat="1" applyFont="1" applyAlignment="1" applyProtection="1">
      <alignment horizontal="right"/>
      <protection/>
    </xf>
    <xf numFmtId="0" fontId="0" fillId="0" borderId="0" xfId="51" applyFont="1" applyFill="1" applyAlignment="1">
      <alignment horizontal="right" vertical="top"/>
      <protection/>
    </xf>
    <xf numFmtId="0" fontId="41" fillId="0" borderId="0" xfId="51" applyNumberFormat="1" applyFont="1" applyAlignment="1">
      <alignment wrapText="1"/>
      <protection/>
    </xf>
    <xf numFmtId="0" fontId="41" fillId="0" borderId="0" xfId="51" applyFont="1" applyAlignment="1">
      <alignment horizontal="center"/>
      <protection/>
    </xf>
    <xf numFmtId="2" fontId="41" fillId="0" borderId="0" xfId="51" applyNumberFormat="1" applyFont="1" applyAlignment="1">
      <alignment horizontal="center"/>
      <protection/>
    </xf>
    <xf numFmtId="4" fontId="0" fillId="0" borderId="0" xfId="51" applyNumberFormat="1" applyFont="1" applyFill="1" applyAlignment="1">
      <alignment/>
      <protection/>
    </xf>
    <xf numFmtId="209" fontId="0" fillId="0" borderId="0" xfId="52" applyNumberFormat="1" applyFont="1" applyAlignment="1">
      <alignment vertical="top"/>
      <protection/>
    </xf>
    <xf numFmtId="0" fontId="41" fillId="0" borderId="0" xfId="51" applyNumberFormat="1" applyFont="1" applyFill="1" applyAlignment="1">
      <alignment vertical="top" wrapText="1"/>
      <protection/>
    </xf>
    <xf numFmtId="4" fontId="0" fillId="0" borderId="0" xfId="54" applyNumberFormat="1" applyFont="1" applyBorder="1" applyAlignment="1" applyProtection="1">
      <alignment/>
      <protection/>
    </xf>
    <xf numFmtId="209" fontId="0" fillId="0" borderId="0" xfId="54" applyNumberFormat="1" applyFont="1" applyAlignment="1">
      <alignment horizontal="right" vertical="top"/>
      <protection/>
    </xf>
    <xf numFmtId="0" fontId="41" fillId="0" borderId="0" xfId="51" applyFont="1" applyFill="1" applyAlignment="1">
      <alignment horizontal="center"/>
      <protection/>
    </xf>
    <xf numFmtId="2" fontId="41" fillId="0" borderId="0" xfId="51" applyNumberFormat="1" applyFont="1" applyFill="1" applyAlignment="1">
      <alignment horizontal="center"/>
      <protection/>
    </xf>
    <xf numFmtId="0" fontId="41" fillId="0" borderId="0" xfId="51" applyNumberFormat="1" applyFont="1" applyFill="1" applyAlignment="1">
      <alignment horizontal="left" wrapText="1"/>
      <protection/>
    </xf>
    <xf numFmtId="0" fontId="41" fillId="0" borderId="0" xfId="0" applyNumberFormat="1" applyFont="1" applyFill="1" applyAlignment="1">
      <alignment horizontal="left" vertical="center" wrapText="1"/>
    </xf>
    <xf numFmtId="0" fontId="41" fillId="0" borderId="0" xfId="0" applyNumberFormat="1" applyFont="1" applyAlignment="1">
      <alignment horizontal="left" vertical="center" wrapText="1"/>
    </xf>
    <xf numFmtId="0" fontId="0" fillId="0" borderId="0" xfId="0" applyNumberFormat="1" applyFont="1" applyFill="1" applyAlignment="1">
      <alignment wrapText="1"/>
    </xf>
    <xf numFmtId="0" fontId="0" fillId="0" borderId="0" xfId="51" applyNumberFormat="1" applyFont="1" applyFill="1" applyAlignment="1" applyProtection="1">
      <alignment vertical="top" wrapText="1"/>
      <protection/>
    </xf>
    <xf numFmtId="0" fontId="0" fillId="0" borderId="0" xfId="51" applyNumberFormat="1" applyFont="1" applyFill="1" applyAlignment="1" applyProtection="1">
      <alignment horizontal="left" wrapText="1"/>
      <protection/>
    </xf>
    <xf numFmtId="0" fontId="44" fillId="0" borderId="0" xfId="54" applyFont="1" applyFill="1" applyAlignment="1" applyProtection="1">
      <alignment horizontal="right" vertical="top"/>
      <protection/>
    </xf>
    <xf numFmtId="0" fontId="51" fillId="0" borderId="0" xfId="54" applyNumberFormat="1" applyFont="1" applyFill="1" applyBorder="1" applyAlignment="1" applyProtection="1">
      <alignment horizontal="left" vertical="top" wrapText="1"/>
      <protection/>
    </xf>
    <xf numFmtId="0" fontId="44" fillId="0" borderId="0" xfId="54" applyFont="1" applyFill="1" applyBorder="1" applyAlignment="1" applyProtection="1">
      <alignment horizontal="center"/>
      <protection/>
    </xf>
    <xf numFmtId="2" fontId="44" fillId="0" borderId="0" xfId="54" applyNumberFormat="1" applyFont="1" applyFill="1" applyBorder="1" applyAlignment="1" applyProtection="1">
      <alignment horizontal="center"/>
      <protection/>
    </xf>
    <xf numFmtId="183" fontId="44" fillId="0" borderId="0" xfId="54" applyNumberFormat="1" applyFont="1" applyFill="1" applyBorder="1" applyAlignment="1" applyProtection="1">
      <alignment horizontal="right"/>
      <protection locked="0"/>
    </xf>
    <xf numFmtId="4" fontId="44" fillId="0" borderId="0" xfId="54" applyNumberFormat="1" applyFont="1" applyFill="1" applyBorder="1" applyAlignment="1" applyProtection="1">
      <alignment horizontal="right"/>
      <protection/>
    </xf>
    <xf numFmtId="0" fontId="41" fillId="0" borderId="0" xfId="0" applyNumberFormat="1" applyFont="1" applyAlignment="1">
      <alignment vertical="center" wrapText="1"/>
    </xf>
    <xf numFmtId="2" fontId="41" fillId="0" borderId="0" xfId="51" applyNumberFormat="1" applyFont="1" applyAlignment="1" applyProtection="1">
      <alignment horizontal="center"/>
      <protection/>
    </xf>
    <xf numFmtId="0" fontId="0" fillId="0" borderId="0" xfId="0" applyNumberFormat="1" applyFont="1" applyAlignment="1">
      <alignment vertical="center" wrapText="1"/>
    </xf>
    <xf numFmtId="0" fontId="41" fillId="0" borderId="0" xfId="51" applyNumberFormat="1" applyFont="1" applyFill="1" applyAlignment="1" applyProtection="1">
      <alignment horizontal="left" vertical="center" wrapText="1"/>
      <protection/>
    </xf>
    <xf numFmtId="0" fontId="0" fillId="0" borderId="0" xfId="51" applyNumberFormat="1" applyFont="1" applyFill="1" applyAlignment="1" applyProtection="1">
      <alignment horizontal="left" vertical="center" wrapText="1"/>
      <protection/>
    </xf>
    <xf numFmtId="0" fontId="0" fillId="0" borderId="0" xfId="51" applyFont="1" applyFill="1" applyAlignment="1" applyProtection="1">
      <alignment horizontal="right" vertical="top"/>
      <protection/>
    </xf>
    <xf numFmtId="0" fontId="0" fillId="0" borderId="0" xfId="51" applyFont="1" applyFill="1" applyAlignment="1" applyProtection="1">
      <alignment horizontal="right"/>
      <protection locked="0"/>
    </xf>
    <xf numFmtId="4" fontId="0" fillId="0" borderId="0" xfId="51" applyNumberFormat="1" applyFont="1" applyFill="1" applyAlignment="1" applyProtection="1">
      <alignment horizontal="right"/>
      <protection/>
    </xf>
    <xf numFmtId="0" fontId="0" fillId="0" borderId="0" xfId="51" applyFont="1" applyFill="1" applyAlignment="1" applyProtection="1">
      <alignment horizontal="right"/>
      <protection/>
    </xf>
    <xf numFmtId="4" fontId="0" fillId="0" borderId="0" xfId="54" applyNumberFormat="1" applyFont="1" applyFill="1" applyBorder="1" applyAlignment="1" applyProtection="1">
      <alignment horizontal="right"/>
      <protection/>
    </xf>
    <xf numFmtId="209" fontId="0" fillId="0" borderId="0" xfId="54" applyNumberFormat="1" applyFont="1" applyFill="1" applyAlignment="1" applyProtection="1">
      <alignment horizontal="right" vertical="top"/>
      <protection/>
    </xf>
    <xf numFmtId="0" fontId="41" fillId="0" borderId="0" xfId="51" applyNumberFormat="1" applyFont="1" applyFill="1" applyAlignment="1" applyProtection="1" quotePrefix="1">
      <alignment wrapText="1"/>
      <protection/>
    </xf>
    <xf numFmtId="0" fontId="0" fillId="0" borderId="0" xfId="51" applyNumberFormat="1" applyFont="1" applyFill="1" applyAlignment="1" applyProtection="1" quotePrefix="1">
      <alignment wrapText="1"/>
      <protection/>
    </xf>
    <xf numFmtId="0" fontId="0" fillId="0" borderId="0" xfId="51" applyNumberFormat="1" applyFont="1" applyAlignment="1" applyProtection="1">
      <alignment wrapText="1"/>
      <protection/>
    </xf>
    <xf numFmtId="0" fontId="0" fillId="0" borderId="0" xfId="51" applyNumberFormat="1" applyFont="1" applyFill="1" applyAlignment="1" applyProtection="1">
      <alignment vertical="center" wrapText="1"/>
      <protection/>
    </xf>
    <xf numFmtId="0" fontId="0" fillId="0" borderId="0" xfId="51" applyNumberFormat="1" applyFont="1" applyAlignment="1" applyProtection="1">
      <alignment vertical="center" wrapText="1"/>
      <protection/>
    </xf>
    <xf numFmtId="0" fontId="0" fillId="0" borderId="0" xfId="51" applyFont="1" applyFill="1" applyBorder="1" applyAlignment="1" applyProtection="1">
      <alignment horizontal="right"/>
      <protection locked="0"/>
    </xf>
    <xf numFmtId="0" fontId="0" fillId="0" borderId="0" xfId="51" applyNumberFormat="1" applyFont="1" applyAlignment="1" applyProtection="1" quotePrefix="1">
      <alignment horizontal="left" wrapText="1"/>
      <protection/>
    </xf>
    <xf numFmtId="0" fontId="41" fillId="0" borderId="0" xfId="51" applyFont="1" applyFill="1" applyAlignment="1" applyProtection="1">
      <alignment horizontal="right" vertical="top"/>
      <protection/>
    </xf>
    <xf numFmtId="0" fontId="41" fillId="0" borderId="0" xfId="51" applyNumberFormat="1" applyFont="1" applyAlignment="1" applyProtection="1">
      <alignment vertical="center" wrapText="1"/>
      <protection/>
    </xf>
    <xf numFmtId="0" fontId="0" fillId="0" borderId="0" xfId="0" applyNumberFormat="1" applyFont="1" applyFill="1" applyAlignment="1">
      <alignment vertical="top" wrapText="1"/>
    </xf>
    <xf numFmtId="0" fontId="41" fillId="0" borderId="0" xfId="51" applyFont="1" applyFill="1" applyProtection="1">
      <alignment/>
      <protection locked="0"/>
    </xf>
    <xf numFmtId="4" fontId="41" fillId="0" borderId="0" xfId="51" applyNumberFormat="1" applyFont="1" applyFill="1" applyProtection="1">
      <alignment/>
      <protection/>
    </xf>
    <xf numFmtId="0" fontId="44" fillId="0" borderId="0" xfId="52" applyNumberFormat="1" applyFont="1" applyFill="1" applyBorder="1" applyAlignment="1">
      <alignment vertical="top" wrapText="1"/>
      <protection/>
    </xf>
    <xf numFmtId="2" fontId="44" fillId="0" borderId="0" xfId="52" applyNumberFormat="1" applyFont="1" applyFill="1" applyBorder="1" applyAlignment="1">
      <alignment horizontal="center"/>
      <protection/>
    </xf>
    <xf numFmtId="183" fontId="44" fillId="0" borderId="0" xfId="52" applyNumberFormat="1" applyFont="1" applyFill="1" applyBorder="1" applyProtection="1">
      <alignment/>
      <protection locked="0"/>
    </xf>
    <xf numFmtId="183" fontId="44" fillId="0" borderId="1" xfId="52" applyNumberFormat="1" applyFont="1" applyFill="1" applyBorder="1">
      <alignment/>
      <protection/>
    </xf>
    <xf numFmtId="183" fontId="44" fillId="0" borderId="0" xfId="52" applyNumberFormat="1" applyFont="1" applyFill="1" applyBorder="1">
      <alignment/>
      <protection/>
    </xf>
    <xf numFmtId="0" fontId="47" fillId="0" borderId="0" xfId="0" applyNumberFormat="1" applyFont="1" applyAlignment="1">
      <alignment horizontal="left" vertical="center" wrapText="1"/>
    </xf>
    <xf numFmtId="49" fontId="41" fillId="0" borderId="0" xfId="0" applyNumberFormat="1" applyFont="1" applyAlignment="1">
      <alignment horizontal="center" wrapText="1"/>
    </xf>
    <xf numFmtId="0" fontId="41" fillId="0" borderId="0" xfId="0" applyFont="1" applyFill="1" applyAlignment="1" applyProtection="1">
      <alignment/>
      <protection locked="0"/>
    </xf>
    <xf numFmtId="0" fontId="47" fillId="0" borderId="0" xfId="0" applyNumberFormat="1" applyFont="1" applyFill="1" applyAlignment="1">
      <alignment horizontal="left" vertical="center" wrapText="1"/>
    </xf>
    <xf numFmtId="0" fontId="0" fillId="0" borderId="0" xfId="0" applyFont="1" applyFill="1" applyBorder="1" applyAlignment="1">
      <alignment horizontal="right" vertical="top"/>
    </xf>
    <xf numFmtId="49" fontId="41" fillId="0" borderId="0" xfId="0" applyNumberFormat="1" applyFont="1" applyAlignment="1">
      <alignment horizontal="center" vertical="center" wrapText="1"/>
    </xf>
    <xf numFmtId="2" fontId="41" fillId="0" borderId="0" xfId="0" applyNumberFormat="1" applyFont="1" applyAlignment="1">
      <alignment horizontal="center" vertical="center" wrapText="1"/>
    </xf>
    <xf numFmtId="183" fontId="0" fillId="0" borderId="0" xfId="52" applyNumberFormat="1" applyFont="1" applyBorder="1" applyProtection="1">
      <alignment/>
      <protection/>
    </xf>
    <xf numFmtId="0" fontId="0" fillId="0" borderId="0" xfId="0" applyNumberFormat="1" applyFont="1" applyAlignment="1">
      <alignment horizontal="right" vertical="top"/>
    </xf>
    <xf numFmtId="0" fontId="41" fillId="0" borderId="0" xfId="0" applyFont="1" applyAlignment="1" applyProtection="1">
      <alignment horizontal="center" wrapText="1"/>
      <protection locked="0"/>
    </xf>
    <xf numFmtId="0" fontId="41" fillId="0" borderId="0" xfId="0" applyFont="1" applyFill="1" applyBorder="1" applyAlignment="1">
      <alignment/>
    </xf>
    <xf numFmtId="4" fontId="41" fillId="0" borderId="0" xfId="0" applyNumberFormat="1" applyFont="1" applyFill="1" applyBorder="1" applyAlignment="1">
      <alignment/>
    </xf>
    <xf numFmtId="209" fontId="0" fillId="0" borderId="0" xfId="52" applyNumberFormat="1" applyFont="1" applyAlignment="1">
      <alignment horizontal="right" vertical="top"/>
      <protection/>
    </xf>
    <xf numFmtId="209" fontId="0" fillId="0" borderId="0" xfId="52" applyNumberFormat="1" applyFont="1" applyFill="1" applyAlignment="1">
      <alignment horizontal="right" vertical="top"/>
      <protection/>
    </xf>
    <xf numFmtId="0" fontId="41" fillId="0" borderId="0" xfId="0" applyFont="1" applyAlignment="1">
      <alignment wrapText="1"/>
    </xf>
    <xf numFmtId="2" fontId="41" fillId="0" borderId="0" xfId="0" applyNumberFormat="1" applyFont="1" applyAlignment="1">
      <alignment wrapText="1"/>
    </xf>
    <xf numFmtId="0" fontId="41" fillId="0" borderId="0" xfId="0" applyFont="1" applyFill="1" applyAlignment="1" applyProtection="1">
      <alignment wrapText="1"/>
      <protection locked="0"/>
    </xf>
    <xf numFmtId="0" fontId="41" fillId="0" borderId="0" xfId="0" applyFont="1" applyFill="1" applyAlignment="1">
      <alignment wrapText="1"/>
    </xf>
    <xf numFmtId="0" fontId="0" fillId="0" borderId="0" xfId="55" applyNumberFormat="1" applyFont="1" applyFill="1" applyAlignment="1">
      <alignment vertical="top" wrapText="1"/>
      <protection/>
    </xf>
    <xf numFmtId="0" fontId="0" fillId="0" borderId="0" xfId="55" applyFont="1" applyFill="1" applyAlignment="1">
      <alignment horizontal="center"/>
      <protection/>
    </xf>
    <xf numFmtId="2" fontId="0" fillId="0" borderId="0" xfId="55" applyNumberFormat="1" applyFont="1" applyFill="1" applyAlignment="1">
      <alignment horizontal="center"/>
      <protection/>
    </xf>
    <xf numFmtId="183" fontId="0" fillId="40" borderId="1" xfId="52" applyNumberFormat="1" applyFont="1" applyFill="1" applyBorder="1" applyAlignment="1" applyProtection="1">
      <alignment horizontal="center"/>
      <protection locked="0"/>
    </xf>
    <xf numFmtId="183" fontId="0" fillId="0" borderId="0" xfId="52" applyNumberFormat="1" applyFont="1" applyBorder="1" applyAlignment="1" applyProtection="1">
      <alignment horizontal="right"/>
      <protection/>
    </xf>
    <xf numFmtId="0" fontId="41" fillId="0" borderId="0" xfId="55" applyNumberFormat="1" applyFont="1" applyAlignment="1">
      <alignment wrapText="1"/>
      <protection/>
    </xf>
    <xf numFmtId="0" fontId="41" fillId="0" borderId="0" xfId="55" applyFont="1" applyAlignment="1">
      <alignment horizontal="center" wrapText="1"/>
      <protection/>
    </xf>
    <xf numFmtId="2" fontId="41" fillId="0" borderId="0" xfId="55" applyNumberFormat="1" applyFont="1" applyAlignment="1">
      <alignment horizontal="center" wrapText="1"/>
      <protection/>
    </xf>
    <xf numFmtId="0" fontId="41" fillId="0" borderId="0" xfId="0" applyFont="1" applyFill="1" applyAlignment="1">
      <alignment horizontal="right" wrapText="1"/>
    </xf>
    <xf numFmtId="209" fontId="0" fillId="0" borderId="0" xfId="52" applyNumberFormat="1" applyFont="1" applyAlignment="1">
      <alignment vertical="top" wrapText="1"/>
      <protection/>
    </xf>
    <xf numFmtId="183" fontId="0" fillId="40" borderId="1" xfId="52" applyNumberFormat="1" applyFont="1" applyFill="1" applyBorder="1" applyAlignment="1" applyProtection="1">
      <alignment wrapText="1"/>
      <protection locked="0"/>
    </xf>
    <xf numFmtId="183" fontId="0" fillId="0" borderId="0" xfId="52" applyNumberFormat="1" applyFont="1" applyBorder="1" applyAlignment="1" applyProtection="1">
      <alignment wrapText="1"/>
      <protection/>
    </xf>
    <xf numFmtId="209" fontId="0" fillId="0" borderId="0" xfId="52" applyNumberFormat="1" applyFont="1" applyFill="1" applyAlignment="1">
      <alignment vertical="top" wrapText="1"/>
      <protection/>
    </xf>
    <xf numFmtId="0" fontId="0" fillId="0" borderId="0" xfId="0" applyNumberFormat="1" applyFont="1" applyAlignment="1">
      <alignment vertical="top" wrapText="1"/>
    </xf>
    <xf numFmtId="0" fontId="0" fillId="0" borderId="0" xfId="0" applyFont="1" applyAlignment="1">
      <alignment horizontal="center"/>
    </xf>
    <xf numFmtId="2" fontId="0" fillId="0" borderId="0" xfId="0" applyNumberFormat="1" applyFont="1" applyAlignment="1">
      <alignment horizontal="center"/>
    </xf>
    <xf numFmtId="0" fontId="47" fillId="0" borderId="0" xfId="0" applyNumberFormat="1" applyFont="1" applyAlignment="1">
      <alignment wrapText="1"/>
    </xf>
    <xf numFmtId="183" fontId="0" fillId="0" borderId="0" xfId="52" applyNumberFormat="1" applyFont="1" applyFill="1" applyBorder="1" applyProtection="1">
      <alignment/>
      <protection locked="0"/>
    </xf>
    <xf numFmtId="209" fontId="0" fillId="0" borderId="0" xfId="52" applyNumberFormat="1" applyFont="1" applyFill="1" applyBorder="1" applyAlignment="1">
      <alignment vertical="top"/>
      <protection/>
    </xf>
    <xf numFmtId="0" fontId="41" fillId="0" borderId="0" xfId="0" applyFont="1" applyFill="1" applyBorder="1" applyAlignment="1" applyProtection="1">
      <alignment/>
      <protection locked="0"/>
    </xf>
    <xf numFmtId="0" fontId="41" fillId="0" borderId="0" xfId="0" applyFont="1" applyFill="1" applyBorder="1" applyAlignment="1">
      <alignment/>
    </xf>
    <xf numFmtId="0" fontId="41" fillId="0" borderId="0" xfId="0" applyNumberFormat="1" applyFont="1" applyFill="1" applyAlignment="1">
      <alignment horizontal="center" wrapText="1"/>
    </xf>
    <xf numFmtId="0" fontId="0" fillId="0" borderId="0" xfId="0" applyNumberFormat="1" applyFont="1" applyFill="1" applyAlignment="1" quotePrefix="1">
      <alignment wrapText="1"/>
    </xf>
    <xf numFmtId="2" fontId="41" fillId="0" borderId="0" xfId="0" applyNumberFormat="1" applyFont="1" applyFill="1" applyAlignment="1">
      <alignment wrapText="1"/>
    </xf>
    <xf numFmtId="0" fontId="41" fillId="0" borderId="0" xfId="0" applyFont="1" applyAlignment="1" applyProtection="1">
      <alignment/>
      <protection locked="0"/>
    </xf>
    <xf numFmtId="0" fontId="41" fillId="0" borderId="0" xfId="0" applyFont="1" applyAlignment="1">
      <alignment/>
    </xf>
    <xf numFmtId="0" fontId="52" fillId="0" borderId="0" xfId="0" applyNumberFormat="1" applyFont="1" applyFill="1" applyAlignment="1">
      <alignment vertical="center" wrapText="1"/>
    </xf>
    <xf numFmtId="0" fontId="41" fillId="0" borderId="0" xfId="0" applyNumberFormat="1" applyFont="1" applyFill="1" applyAlignment="1">
      <alignment vertical="center" wrapText="1"/>
    </xf>
    <xf numFmtId="0" fontId="41" fillId="0" borderId="0" xfId="0" applyFont="1" applyAlignment="1" applyProtection="1">
      <alignment wrapText="1"/>
      <protection locked="0"/>
    </xf>
    <xf numFmtId="0" fontId="41" fillId="0" borderId="0" xfId="0" applyNumberFormat="1" applyFont="1" applyAlignment="1">
      <alignment horizontal="center" vertical="top" wrapText="1"/>
    </xf>
    <xf numFmtId="2" fontId="41" fillId="0" borderId="0" xfId="0" applyNumberFormat="1" applyFont="1" applyAlignment="1">
      <alignment horizontal="center" vertical="top" wrapText="1"/>
    </xf>
    <xf numFmtId="0" fontId="41" fillId="0" borderId="0" xfId="0" applyFont="1" applyFill="1" applyAlignment="1">
      <alignment horizontal="center" vertical="center" wrapText="1"/>
    </xf>
    <xf numFmtId="2" fontId="41" fillId="0" borderId="0" xfId="0" applyNumberFormat="1" applyFont="1" applyFill="1" applyAlignment="1">
      <alignment horizontal="center" vertical="center" wrapText="1"/>
    </xf>
    <xf numFmtId="49" fontId="41" fillId="0" borderId="0" xfId="0" applyNumberFormat="1" applyFont="1" applyFill="1" applyAlignment="1">
      <alignment wrapText="1"/>
    </xf>
    <xf numFmtId="49" fontId="41" fillId="0" borderId="0" xfId="0" applyNumberFormat="1" applyFont="1" applyAlignment="1" applyProtection="1">
      <alignment wrapText="1"/>
      <protection locked="0"/>
    </xf>
    <xf numFmtId="0" fontId="0" fillId="0" borderId="0" xfId="0" applyFont="1" applyFill="1" applyAlignment="1">
      <alignment/>
    </xf>
    <xf numFmtId="0" fontId="0" fillId="0" borderId="0" xfId="0" applyFont="1" applyFill="1" applyAlignment="1">
      <alignment horizontal="center" wrapText="1"/>
    </xf>
    <xf numFmtId="2" fontId="0" fillId="0" borderId="0" xfId="0" applyNumberFormat="1" applyFont="1" applyFill="1" applyAlignment="1">
      <alignment horizontal="center" wrapText="1"/>
    </xf>
    <xf numFmtId="0" fontId="0" fillId="0" borderId="0" xfId="0" applyFont="1" applyFill="1" applyAlignment="1" applyProtection="1">
      <alignment/>
      <protection locked="0"/>
    </xf>
    <xf numFmtId="0" fontId="0" fillId="0" borderId="0" xfId="0" applyFont="1" applyFill="1" applyAlignment="1">
      <alignment/>
    </xf>
    <xf numFmtId="0" fontId="47" fillId="0" borderId="0" xfId="0" applyNumberFormat="1" applyFont="1" applyFill="1" applyAlignment="1">
      <alignment wrapText="1"/>
    </xf>
    <xf numFmtId="0" fontId="41" fillId="0" borderId="0" xfId="0" applyNumberFormat="1" applyFont="1" applyFill="1" applyAlignment="1">
      <alignment horizontal="justify" wrapText="1"/>
    </xf>
    <xf numFmtId="0" fontId="0" fillId="0" borderId="0" xfId="0" applyNumberFormat="1" applyFont="1" applyFill="1" applyAlignment="1">
      <alignment vertical="center" wrapText="1"/>
    </xf>
    <xf numFmtId="0" fontId="47" fillId="0" borderId="0" xfId="0" applyNumberFormat="1" applyFont="1" applyFill="1" applyAlignment="1">
      <alignment horizontal="justify" wrapText="1"/>
    </xf>
    <xf numFmtId="183" fontId="0" fillId="0" borderId="0" xfId="52" applyNumberFormat="1" applyFont="1" applyFill="1" applyBorder="1" applyProtection="1">
      <alignment/>
      <protection/>
    </xf>
    <xf numFmtId="0" fontId="41" fillId="0" borderId="0" xfId="0" applyNumberFormat="1" applyFont="1" applyAlignment="1">
      <alignment horizontal="center" wrapText="1"/>
    </xf>
    <xf numFmtId="183" fontId="0" fillId="40" borderId="1" xfId="52" applyNumberFormat="1" applyFont="1" applyFill="1" applyBorder="1" applyAlignment="1" applyProtection="1">
      <alignment/>
      <protection locked="0"/>
    </xf>
    <xf numFmtId="183" fontId="0" fillId="0" borderId="0" xfId="52" applyNumberFormat="1" applyFont="1" applyBorder="1" applyAlignment="1" applyProtection="1">
      <alignment/>
      <protection/>
    </xf>
    <xf numFmtId="0" fontId="41" fillId="0" borderId="0" xfId="0" applyNumberFormat="1" applyFont="1" applyFill="1" applyBorder="1" applyAlignment="1">
      <alignment horizontal="left" vertical="center" wrapText="1"/>
    </xf>
    <xf numFmtId="0" fontId="41" fillId="0" borderId="0" xfId="0" applyFont="1" applyFill="1" applyBorder="1" applyAlignment="1">
      <alignment horizontal="center" wrapText="1"/>
    </xf>
    <xf numFmtId="2" fontId="41" fillId="0" borderId="0" xfId="0" applyNumberFormat="1" applyFont="1" applyFill="1" applyBorder="1" applyAlignment="1">
      <alignment horizontal="center" wrapText="1"/>
    </xf>
    <xf numFmtId="0" fontId="41" fillId="0" borderId="0" xfId="0" applyFont="1" applyAlignment="1">
      <alignment horizontal="center" vertical="center" wrapText="1"/>
    </xf>
    <xf numFmtId="0" fontId="53" fillId="0" borderId="0" xfId="0" applyNumberFormat="1" applyFont="1" applyAlignment="1">
      <alignment horizontal="justify" wrapText="1"/>
    </xf>
    <xf numFmtId="0" fontId="41" fillId="0" borderId="0" xfId="0" applyFont="1" applyAlignment="1" applyProtection="1">
      <alignment horizontal="right"/>
      <protection locked="0"/>
    </xf>
    <xf numFmtId="0" fontId="0" fillId="0" borderId="0" xfId="0" applyFont="1" applyFill="1" applyAlignment="1">
      <alignment horizontal="center"/>
    </xf>
    <xf numFmtId="2" fontId="0" fillId="0" borderId="0" xfId="0" applyNumberFormat="1" applyFont="1" applyFill="1" applyAlignment="1">
      <alignment horizontal="center"/>
    </xf>
    <xf numFmtId="0" fontId="0" fillId="0" borderId="0" xfId="0" applyFont="1" applyFill="1" applyAlignment="1">
      <alignment horizontal="right"/>
    </xf>
    <xf numFmtId="183" fontId="0" fillId="0" borderId="0" xfId="52" applyNumberFormat="1" applyFont="1" applyFill="1" applyBorder="1" applyAlignment="1" applyProtection="1">
      <alignment horizontal="right"/>
      <protection locked="0"/>
    </xf>
    <xf numFmtId="9" fontId="41" fillId="0" borderId="0" xfId="0" applyNumberFormat="1" applyFont="1" applyAlignment="1">
      <alignment horizontal="center" wrapText="1"/>
    </xf>
    <xf numFmtId="0" fontId="44" fillId="0" borderId="22" xfId="63" applyFont="1" applyBorder="1" applyAlignment="1" applyProtection="1">
      <alignment horizontal="left"/>
      <protection locked="0"/>
    </xf>
    <xf numFmtId="0" fontId="0" fillId="0" borderId="24" xfId="63" applyBorder="1" applyAlignment="1" applyProtection="1">
      <alignment/>
      <protection locked="0"/>
    </xf>
    <xf numFmtId="0" fontId="0" fillId="0" borderId="0" xfId="63" applyBorder="1" applyAlignment="1" applyProtection="1">
      <alignment/>
      <protection locked="0"/>
    </xf>
    <xf numFmtId="0" fontId="0" fillId="0" borderId="0" xfId="63" applyProtection="1">
      <alignment/>
      <protection locked="0"/>
    </xf>
    <xf numFmtId="183" fontId="44" fillId="0" borderId="0" xfId="52" applyNumberFormat="1" applyFont="1" applyFill="1" applyBorder="1" applyAlignment="1" applyProtection="1">
      <alignment horizontal="right"/>
      <protection locked="0"/>
    </xf>
    <xf numFmtId="0" fontId="0" fillId="0" borderId="0" xfId="0" applyAlignment="1" applyProtection="1">
      <alignment horizontal="justify" wrapText="1"/>
      <protection locked="0"/>
    </xf>
    <xf numFmtId="0" fontId="41" fillId="0" borderId="0" xfId="0" applyFont="1" applyFill="1" applyBorder="1" applyAlignment="1" applyProtection="1">
      <alignment horizontal="justify" wrapText="1"/>
      <protection locked="0"/>
    </xf>
    <xf numFmtId="0" fontId="0" fillId="0" borderId="0" xfId="0" applyNumberFormat="1" applyAlignment="1" applyProtection="1">
      <alignment horizontal="justify" vertical="top" wrapText="1"/>
      <protection locked="0"/>
    </xf>
    <xf numFmtId="0" fontId="41" fillId="0" borderId="0" xfId="0" applyFont="1" applyFill="1" applyAlignment="1" applyProtection="1">
      <alignment horizontal="justify" wrapText="1"/>
      <protection locked="0"/>
    </xf>
    <xf numFmtId="183" fontId="44" fillId="0" borderId="19" xfId="52" applyNumberFormat="1" applyFont="1" applyFill="1" applyBorder="1" applyAlignment="1" applyProtection="1">
      <alignment horizontal="right"/>
      <protection locked="0"/>
    </xf>
    <xf numFmtId="0" fontId="41" fillId="0" borderId="0" xfId="51" applyFont="1" applyAlignment="1" applyProtection="1">
      <alignment horizontal="center" wrapText="1"/>
      <protection locked="0"/>
    </xf>
    <xf numFmtId="0" fontId="41" fillId="0" borderId="0" xfId="0" applyFont="1" applyAlignment="1" applyProtection="1">
      <alignment horizontal="center"/>
      <protection locked="0"/>
    </xf>
    <xf numFmtId="0" fontId="41" fillId="0" borderId="0" xfId="0" applyFont="1" applyFill="1" applyAlignment="1" applyProtection="1">
      <alignment/>
      <protection locked="0"/>
    </xf>
    <xf numFmtId="0" fontId="41" fillId="0" borderId="0" xfId="0" applyFont="1" applyFill="1" applyAlignment="1" applyProtection="1">
      <alignment horizontal="center"/>
      <protection locked="0"/>
    </xf>
    <xf numFmtId="0" fontId="0" fillId="0" borderId="0" xfId="0" applyFont="1" applyFill="1" applyAlignment="1" applyProtection="1">
      <alignment horizontal="right"/>
      <protection locked="0"/>
    </xf>
    <xf numFmtId="0" fontId="0" fillId="0" borderId="0" xfId="0" applyFont="1" applyFill="1" applyAlignment="1" applyProtection="1">
      <alignment horizontal="center"/>
      <protection locked="0"/>
    </xf>
  </cellXfs>
  <cellStyles count="82">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lement-delo" xfId="34"/>
    <cellStyle name="Element-delo 2" xfId="35"/>
    <cellStyle name="Element-delo 3 2" xfId="36"/>
    <cellStyle name="Element-delo_HTZ IP 164 srednja zdravstvena šola Celje ci1151-1, BZ500+..." xfId="37"/>
    <cellStyle name="Hyperlink" xfId="38"/>
    <cellStyle name="Izhod" xfId="39"/>
    <cellStyle name="Naslov" xfId="40"/>
    <cellStyle name="Naslov 1" xfId="41"/>
    <cellStyle name="Naslov 2" xfId="42"/>
    <cellStyle name="Naslov 3" xfId="43"/>
    <cellStyle name="Naslov 4" xfId="44"/>
    <cellStyle name="naslov2" xfId="45"/>
    <cellStyle name="Navadno 10" xfId="46"/>
    <cellStyle name="Navadno 10 2" xfId="47"/>
    <cellStyle name="Navadno 10 2 2" xfId="48"/>
    <cellStyle name="Navadno 10 2 2 4" xfId="49"/>
    <cellStyle name="Navadno 12" xfId="50"/>
    <cellStyle name="Navadno 16 2" xfId="51"/>
    <cellStyle name="Navadno 2" xfId="52"/>
    <cellStyle name="Navadno 2 2 2" xfId="53"/>
    <cellStyle name="Navadno 2 5" xfId="54"/>
    <cellStyle name="Navadno 3 2" xfId="55"/>
    <cellStyle name="Navadno 4" xfId="56"/>
    <cellStyle name="Navadno 5" xfId="57"/>
    <cellStyle name="Navadno 7" xfId="58"/>
    <cellStyle name="Navadno 8" xfId="59"/>
    <cellStyle name="Navadno_449-99" xfId="60"/>
    <cellStyle name="Navadno_Fin-črn" xfId="61"/>
    <cellStyle name="Navadno_FORMULA" xfId="62"/>
    <cellStyle name="Navadno_LG PZI popis strojne instalacije popravljen popis" xfId="63"/>
    <cellStyle name="Navadno_List1" xfId="64"/>
    <cellStyle name="Navadno_Popis Materiala" xfId="65"/>
    <cellStyle name="Nevtralno" xfId="66"/>
    <cellStyle name="normal 2" xfId="67"/>
    <cellStyle name="normal 2 2 2" xfId="68"/>
    <cellStyle name="Normal 3" xfId="69"/>
    <cellStyle name="Normal 4 2" xfId="70"/>
    <cellStyle name="Normal_kanal S1" xfId="71"/>
    <cellStyle name="Followed Hyperlink" xfId="72"/>
    <cellStyle name="Percent" xfId="73"/>
    <cellStyle name="Opomba" xfId="74"/>
    <cellStyle name="Opozorilo" xfId="75"/>
    <cellStyle name="Percent 2" xfId="76"/>
    <cellStyle name="Pojasnjevalno besedilo" xfId="77"/>
    <cellStyle name="Poudarek1" xfId="78"/>
    <cellStyle name="Poudarek2" xfId="79"/>
    <cellStyle name="Poudarek3" xfId="80"/>
    <cellStyle name="Poudarek4" xfId="81"/>
    <cellStyle name="Poudarek5" xfId="82"/>
    <cellStyle name="Poudarek6" xfId="83"/>
    <cellStyle name="Povezana celica" xfId="84"/>
    <cellStyle name="Preveri celico" xfId="85"/>
    <cellStyle name="PRVA VRSTA Element delo" xfId="86"/>
    <cellStyle name="Računanje" xfId="87"/>
    <cellStyle name="Slabo" xfId="88"/>
    <cellStyle name="Standard 3" xfId="89"/>
    <cellStyle name="Currency" xfId="90"/>
    <cellStyle name="Currency [0]" xfId="91"/>
    <cellStyle name="Comma" xfId="92"/>
    <cellStyle name="Comma [0]" xfId="93"/>
    <cellStyle name="Vnos" xfId="94"/>
    <cellStyle name="Vsota"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236</xdr:row>
      <xdr:rowOff>0</xdr:rowOff>
    </xdr:from>
    <xdr:ext cx="76200" cy="238125"/>
    <xdr:sp>
      <xdr:nvSpPr>
        <xdr:cNvPr id="1"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2"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3"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4"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5"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6"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7"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8"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9"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0"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1"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2"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3"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4"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5"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6"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7"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8"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9"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20"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21"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22"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23"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24"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25"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26"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27"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28"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29"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30"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31"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32"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33"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34"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35"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36"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37"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38"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39"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40"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41"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42"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43"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44"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45"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46"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47"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48"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49"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50"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51"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52"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53"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54"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55"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56"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57"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58"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59"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60"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61"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62"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63"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64"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65"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66"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67"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68"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69"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70"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71"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72"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73"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74"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75"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76"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77"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78"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79"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80"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81"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82"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83"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84"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85"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86"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87"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88"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89"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90"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91"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92"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93"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94"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95"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96"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97"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98"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99"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00"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01"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02"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03"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04"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05"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06"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07"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08"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09"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10"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11"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12"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13"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14"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15"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16"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17"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18"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19"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20"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21"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22"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23"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24"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25"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26"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27"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28"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29"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30"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31"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32"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33"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34"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35"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36"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37"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38"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39"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40"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41"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42"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43"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44"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45"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46"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47"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48"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49"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50"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51"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52"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53"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54"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55"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56"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57"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58"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59"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60"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61"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62"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63"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64"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65"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66"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67"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68"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69"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70"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71"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72"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73"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74"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75"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76"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77"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78"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79"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80"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81"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82"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83"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84"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85"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86"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87"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88"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89"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90"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91"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92"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93"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94"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95"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96"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97"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98"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99"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200"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201"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202"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203"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204"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205"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206"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207"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208"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209"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210"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211"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212"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213"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214"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215"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216"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2:E47"/>
  <sheetViews>
    <sheetView showGridLines="0" view="pageBreakPreview" zoomScaleSheetLayoutView="100" workbookViewId="0" topLeftCell="A1">
      <selection activeCell="F34" sqref="F34"/>
    </sheetView>
  </sheetViews>
  <sheetFormatPr defaultColWidth="9.140625" defaultRowHeight="12.75"/>
  <cols>
    <col min="1" max="1" width="11.28125" style="23" customWidth="1"/>
    <col min="2" max="2" width="59.8515625" style="35" customWidth="1"/>
    <col min="3" max="3" width="5.28125" style="25" customWidth="1"/>
    <col min="4" max="4" width="17.140625" style="26" customWidth="1"/>
    <col min="5" max="5" width="11.00390625" style="27" customWidth="1"/>
    <col min="6" max="16384" width="9.140625" style="28" customWidth="1"/>
  </cols>
  <sheetData>
    <row r="2" spans="1:4" s="10" customFormat="1" ht="21">
      <c r="A2" s="9"/>
      <c r="B2" s="73" t="s">
        <v>160</v>
      </c>
      <c r="C2" s="9"/>
      <c r="D2" s="9"/>
    </row>
    <row r="3" spans="1:5" s="15" customFormat="1" ht="21">
      <c r="A3" s="11"/>
      <c r="B3" s="77" t="s">
        <v>175</v>
      </c>
      <c r="C3" s="12"/>
      <c r="D3" s="13"/>
      <c r="E3" s="14"/>
    </row>
    <row r="4" ht="18.75">
      <c r="B4" s="78" t="s">
        <v>176</v>
      </c>
    </row>
    <row r="20" spans="1:5" s="19" customFormat="1" ht="36">
      <c r="A20" s="16"/>
      <c r="B20" s="17" t="s">
        <v>74</v>
      </c>
      <c r="C20" s="16"/>
      <c r="D20" s="16"/>
      <c r="E20" s="18"/>
    </row>
    <row r="21" spans="1:5" s="10" customFormat="1" ht="23.25">
      <c r="A21" s="20"/>
      <c r="B21" s="21" t="s">
        <v>158</v>
      </c>
      <c r="C21" s="20"/>
      <c r="D21" s="20"/>
      <c r="E21" s="22"/>
    </row>
    <row r="22" ht="15.75">
      <c r="B22" s="24" t="s">
        <v>66</v>
      </c>
    </row>
    <row r="44" spans="1:5" s="34" customFormat="1" ht="15">
      <c r="A44" s="29"/>
      <c r="B44" s="30"/>
      <c r="C44" s="31"/>
      <c r="D44" s="32"/>
      <c r="E44" s="33"/>
    </row>
    <row r="45" spans="1:5" s="34" customFormat="1" ht="15">
      <c r="A45" s="29"/>
      <c r="B45" s="29"/>
      <c r="C45" s="31"/>
      <c r="D45" s="32"/>
      <c r="E45" s="33"/>
    </row>
    <row r="46" spans="1:5" s="34" customFormat="1" ht="15">
      <c r="A46" s="29"/>
      <c r="B46" s="29"/>
      <c r="C46" s="31"/>
      <c r="D46" s="32"/>
      <c r="E46" s="33"/>
    </row>
    <row r="47" spans="1:5" s="34" customFormat="1" ht="15">
      <c r="A47" s="29"/>
      <c r="B47" s="29"/>
      <c r="C47" s="31"/>
      <c r="D47" s="32"/>
      <c r="E47" s="33"/>
    </row>
  </sheetData>
  <sheetProtection/>
  <printOptions/>
  <pageMargins left="0.4330708661417323" right="0.11811023622047245" top="0.4724409448818898" bottom="0.4330708661417323" header="0.1968503937007874" footer="0.15748031496062992"/>
  <pageSetup horizontalDpi="300" verticalDpi="300" orientation="portrait" paperSize="9" r:id="rId1"/>
  <headerFooter alignWithMargins="0">
    <oddHeader>&amp;L&amp;D&amp;C________________________________________________________________________________________
&amp;R&amp;"Arial,Krepko"&amp;8BIRO APIS d.o.o.; Zemljemerska ulica 10;¸1000 Ljuvljana</oddHeader>
    <oddFooter>&amp;L&amp;"Arial,Krepko"&amp;8&amp;F&amp;C________________________________________________________________________________________
&amp;R&amp;P/&amp;N</oddFooter>
  </headerFooter>
  <rowBreaks count="1" manualBreakCount="1">
    <brk id="44" max="255" man="1"/>
  </rowBreaks>
</worksheet>
</file>

<file path=xl/worksheets/sheet2.xml><?xml version="1.0" encoding="utf-8"?>
<worksheet xmlns="http://schemas.openxmlformats.org/spreadsheetml/2006/main" xmlns:r="http://schemas.openxmlformats.org/officeDocument/2006/relationships">
  <sheetPr>
    <tabColor indexed="17"/>
  </sheetPr>
  <dimension ref="A1:H1244"/>
  <sheetViews>
    <sheetView view="pageBreakPreview" zoomScaleSheetLayoutView="100" workbookViewId="0" topLeftCell="A1">
      <selection activeCell="E33" sqref="E33"/>
    </sheetView>
  </sheetViews>
  <sheetFormatPr defaultColWidth="9.140625" defaultRowHeight="12.75"/>
  <cols>
    <col min="1" max="1" width="8.7109375" style="326" customWidth="1"/>
    <col min="2" max="2" width="58.421875" style="71" customWidth="1"/>
    <col min="3" max="3" width="4.8515625" style="378" customWidth="1"/>
    <col min="4" max="4" width="8.57421875" style="150" customWidth="1"/>
    <col min="5" max="5" width="8.28125" style="840" customWidth="1"/>
    <col min="6" max="6" width="14.00390625" style="151" customWidth="1"/>
    <col min="7" max="7" width="29.00390625" style="71" customWidth="1"/>
    <col min="8" max="16384" width="9.140625" style="71" customWidth="1"/>
  </cols>
  <sheetData>
    <row r="1" spans="1:6" ht="15">
      <c r="A1" s="23"/>
      <c r="B1" s="43"/>
      <c r="C1" s="346"/>
      <c r="D1" s="101"/>
      <c r="E1" s="752"/>
      <c r="F1" s="102"/>
    </row>
    <row r="2" spans="1:6" ht="26.25">
      <c r="A2" s="23"/>
      <c r="B2" s="222" t="s">
        <v>161</v>
      </c>
      <c r="C2" s="346"/>
      <c r="D2" s="101"/>
      <c r="E2" s="752"/>
      <c r="F2" s="102"/>
    </row>
    <row r="3" spans="1:6" s="220" customFormat="1" ht="23.25">
      <c r="A3" s="9"/>
      <c r="B3" s="221" t="s">
        <v>162</v>
      </c>
      <c r="C3" s="313"/>
      <c r="D3" s="218"/>
      <c r="E3" s="753"/>
      <c r="F3" s="219"/>
    </row>
    <row r="4" spans="1:6" ht="24" thickBot="1">
      <c r="A4" s="23"/>
      <c r="B4" s="79"/>
      <c r="C4" s="346"/>
      <c r="D4" s="101"/>
      <c r="E4" s="752"/>
      <c r="F4" s="102"/>
    </row>
    <row r="5" spans="1:6" ht="27" thickTop="1">
      <c r="A5" s="314"/>
      <c r="B5" s="80" t="s">
        <v>167</v>
      </c>
      <c r="C5" s="347"/>
      <c r="D5" s="103"/>
      <c r="E5" s="754"/>
      <c r="F5" s="104" t="s">
        <v>164</v>
      </c>
    </row>
    <row r="6" spans="1:6" ht="5.25" customHeight="1">
      <c r="A6" s="315"/>
      <c r="B6" s="81"/>
      <c r="C6" s="348"/>
      <c r="D6" s="105"/>
      <c r="E6" s="755"/>
      <c r="F6" s="106"/>
    </row>
    <row r="7" spans="1:6" ht="23.25">
      <c r="A7" s="654" t="s">
        <v>166</v>
      </c>
      <c r="B7" s="82" t="s">
        <v>168</v>
      </c>
      <c r="C7" s="273"/>
      <c r="D7" s="107"/>
      <c r="E7" s="756"/>
      <c r="F7" s="109">
        <f>+F37</f>
        <v>0</v>
      </c>
    </row>
    <row r="8" spans="1:6" ht="23.25">
      <c r="A8" s="654" t="s">
        <v>169</v>
      </c>
      <c r="B8" s="82" t="s">
        <v>170</v>
      </c>
      <c r="C8" s="273"/>
      <c r="D8" s="107"/>
      <c r="E8" s="756"/>
      <c r="F8" s="109">
        <f>+ZAKLONIŠČE!F146</f>
        <v>0</v>
      </c>
    </row>
    <row r="9" spans="1:6" ht="23.25">
      <c r="A9" s="654" t="s">
        <v>171</v>
      </c>
      <c r="B9" s="82" t="s">
        <v>172</v>
      </c>
      <c r="C9" s="273"/>
      <c r="D9" s="107"/>
      <c r="E9" s="756"/>
      <c r="F9" s="109">
        <f>+'ZUNANJA UREDITEV'!F6</f>
        <v>0</v>
      </c>
    </row>
    <row r="10" spans="1:6" ht="23.25">
      <c r="A10" s="654" t="s">
        <v>1654</v>
      </c>
      <c r="B10" s="82" t="s">
        <v>1655</v>
      </c>
      <c r="C10" s="273"/>
      <c r="D10" s="107"/>
      <c r="E10" s="757"/>
      <c r="F10" s="109"/>
    </row>
    <row r="11" spans="1:6" ht="23.25">
      <c r="A11" s="654" t="s">
        <v>2229</v>
      </c>
      <c r="B11" s="82" t="s">
        <v>2230</v>
      </c>
      <c r="C11" s="501"/>
      <c r="D11" s="132"/>
      <c r="E11" s="757"/>
      <c r="F11" s="109"/>
    </row>
    <row r="12" spans="1:6" ht="46.5">
      <c r="A12" s="499" t="s">
        <v>2231</v>
      </c>
      <c r="B12" s="664" t="s">
        <v>2232</v>
      </c>
      <c r="C12" s="503"/>
      <c r="D12" s="162"/>
      <c r="E12" s="757"/>
      <c r="F12" s="500"/>
    </row>
    <row r="13" spans="1:6" ht="21">
      <c r="A13" s="499"/>
      <c r="B13" s="502"/>
      <c r="C13" s="503"/>
      <c r="D13" s="162"/>
      <c r="E13" s="758"/>
      <c r="F13" s="500"/>
    </row>
    <row r="14" spans="1:6" ht="21">
      <c r="A14" s="499"/>
      <c r="B14" s="502"/>
      <c r="C14" s="503"/>
      <c r="D14" s="162"/>
      <c r="E14" s="758"/>
      <c r="F14" s="500"/>
    </row>
    <row r="15" spans="1:6" ht="21">
      <c r="A15" s="499"/>
      <c r="B15" s="502"/>
      <c r="C15" s="503"/>
      <c r="D15" s="162"/>
      <c r="E15" s="758"/>
      <c r="F15" s="500"/>
    </row>
    <row r="16" spans="1:6" ht="21">
      <c r="A16" s="499"/>
      <c r="B16" s="502"/>
      <c r="C16" s="503"/>
      <c r="D16" s="162"/>
      <c r="E16" s="758"/>
      <c r="F16" s="500"/>
    </row>
    <row r="17" spans="1:6" ht="21">
      <c r="A17" s="492"/>
      <c r="B17" s="504"/>
      <c r="C17" s="505"/>
      <c r="D17" s="506"/>
      <c r="E17" s="759"/>
      <c r="F17" s="493"/>
    </row>
    <row r="18" spans="1:6" ht="23.25">
      <c r="A18" s="316"/>
      <c r="B18" s="224" t="s">
        <v>2205</v>
      </c>
      <c r="C18" s="349"/>
      <c r="D18" s="112"/>
      <c r="E18" s="760"/>
      <c r="F18" s="113">
        <f>SUM(F7:F9)</f>
        <v>0</v>
      </c>
    </row>
    <row r="19" spans="1:6" ht="23.25">
      <c r="A19" s="665"/>
      <c r="B19" s="666" t="s">
        <v>2233</v>
      </c>
      <c r="C19" s="667"/>
      <c r="D19" s="668"/>
      <c r="E19" s="761"/>
      <c r="F19" s="669">
        <f>+E10+E11+E12</f>
        <v>0</v>
      </c>
    </row>
    <row r="20" spans="1:6" ht="23.25">
      <c r="A20" s="665"/>
      <c r="B20" s="670" t="s">
        <v>2234</v>
      </c>
      <c r="C20" s="671"/>
      <c r="D20" s="668"/>
      <c r="E20" s="761"/>
      <c r="F20" s="669">
        <f>+F18+F19</f>
        <v>0</v>
      </c>
    </row>
    <row r="21" spans="1:6" ht="23.25">
      <c r="A21" s="665"/>
      <c r="B21" s="670" t="s">
        <v>2235</v>
      </c>
      <c r="C21" s="671"/>
      <c r="D21" s="668"/>
      <c r="E21" s="761"/>
      <c r="F21" s="672">
        <f>+F18*0.095</f>
        <v>0</v>
      </c>
    </row>
    <row r="22" spans="1:6" ht="23.25">
      <c r="A22" s="665"/>
      <c r="B22" s="670" t="s">
        <v>2236</v>
      </c>
      <c r="C22" s="671"/>
      <c r="D22" s="668"/>
      <c r="E22" s="761"/>
      <c r="F22" s="672">
        <f>+F19*0.22</f>
        <v>0</v>
      </c>
    </row>
    <row r="23" spans="1:6" ht="11.25" customHeight="1" thickBot="1">
      <c r="A23" s="335"/>
      <c r="B23" s="651"/>
      <c r="C23" s="652"/>
      <c r="D23" s="653"/>
      <c r="E23" s="762"/>
      <c r="F23" s="493"/>
    </row>
    <row r="24" spans="1:6" ht="24.75" thickBot="1" thickTop="1">
      <c r="A24" s="318"/>
      <c r="B24" s="223" t="s">
        <v>174</v>
      </c>
      <c r="C24" s="350"/>
      <c r="D24" s="114"/>
      <c r="E24" s="763"/>
      <c r="F24" s="507">
        <f>+F20+F21+F22</f>
        <v>0</v>
      </c>
    </row>
    <row r="25" spans="1:6" ht="24" thickTop="1">
      <c r="A25" s="23"/>
      <c r="B25" s="79"/>
      <c r="C25" s="346"/>
      <c r="D25" s="101"/>
      <c r="E25" s="752"/>
      <c r="F25" s="102"/>
    </row>
    <row r="26" spans="1:6" ht="24" thickBot="1">
      <c r="A26" s="23"/>
      <c r="B26" s="79"/>
      <c r="C26" s="346"/>
      <c r="D26" s="101"/>
      <c r="E26" s="752"/>
      <c r="F26" s="102"/>
    </row>
    <row r="27" spans="1:6" ht="23.25">
      <c r="A27" s="386" t="s">
        <v>166</v>
      </c>
      <c r="B27" s="83" t="s">
        <v>165</v>
      </c>
      <c r="C27" s="351"/>
      <c r="D27" s="115"/>
      <c r="E27" s="764"/>
      <c r="F27" s="116" t="s">
        <v>164</v>
      </c>
    </row>
    <row r="28" spans="1:6" ht="8.25" customHeight="1">
      <c r="A28" s="319"/>
      <c r="B28" s="84"/>
      <c r="C28" s="352"/>
      <c r="D28" s="117"/>
      <c r="E28" s="765"/>
      <c r="F28" s="118"/>
    </row>
    <row r="29" spans="1:6" ht="21">
      <c r="A29" s="387" t="s">
        <v>116</v>
      </c>
      <c r="B29" s="85" t="s">
        <v>49</v>
      </c>
      <c r="C29" s="353"/>
      <c r="D29" s="119"/>
      <c r="E29" s="766"/>
      <c r="F29" s="121">
        <f>+F50</f>
        <v>0</v>
      </c>
    </row>
    <row r="30" spans="1:6" ht="21">
      <c r="A30" s="387" t="s">
        <v>117</v>
      </c>
      <c r="B30" s="85" t="s">
        <v>50</v>
      </c>
      <c r="C30" s="353"/>
      <c r="D30" s="119"/>
      <c r="E30" s="766"/>
      <c r="F30" s="121">
        <f>+F65</f>
        <v>0</v>
      </c>
    </row>
    <row r="31" spans="1:6" ht="21">
      <c r="A31" s="387" t="s">
        <v>98</v>
      </c>
      <c r="B31" s="85" t="s">
        <v>118</v>
      </c>
      <c r="C31" s="353"/>
      <c r="D31" s="119"/>
      <c r="E31" s="766"/>
      <c r="F31" s="121">
        <f>+ELEKTRO_OBJEKT!F13</f>
        <v>0</v>
      </c>
    </row>
    <row r="32" spans="1:6" ht="21">
      <c r="A32" s="387" t="s">
        <v>2226</v>
      </c>
      <c r="B32" s="85" t="s">
        <v>2227</v>
      </c>
      <c r="C32" s="353"/>
      <c r="D32" s="119"/>
      <c r="E32" s="766"/>
      <c r="F32" s="121">
        <f>+NN_PRIKLJUČEK!F8</f>
        <v>0</v>
      </c>
    </row>
    <row r="33" spans="1:6" ht="21">
      <c r="A33" s="387" t="s">
        <v>101</v>
      </c>
      <c r="B33" s="85" t="s">
        <v>100</v>
      </c>
      <c r="C33" s="353"/>
      <c r="D33" s="119"/>
      <c r="E33" s="766"/>
      <c r="F33" s="121">
        <f>+STROJNE_OBJEKT!F7</f>
        <v>0</v>
      </c>
    </row>
    <row r="34" spans="1:6" ht="21">
      <c r="A34" s="387" t="s">
        <v>1651</v>
      </c>
      <c r="B34" s="85" t="s">
        <v>1652</v>
      </c>
      <c r="C34" s="353"/>
      <c r="D34" s="119"/>
      <c r="E34" s="767"/>
      <c r="F34" s="663">
        <f>+KANALIZACIJA!F12</f>
        <v>0</v>
      </c>
    </row>
    <row r="35" spans="1:6" ht="15.75" customHeight="1">
      <c r="A35" s="494"/>
      <c r="B35" s="495"/>
      <c r="C35" s="496"/>
      <c r="D35" s="497"/>
      <c r="E35" s="768"/>
      <c r="F35" s="498"/>
    </row>
    <row r="36" spans="1:6" ht="21.75" thickBot="1">
      <c r="A36" s="388"/>
      <c r="B36" s="86" t="s">
        <v>2228</v>
      </c>
      <c r="C36" s="354"/>
      <c r="D36" s="122"/>
      <c r="E36" s="769"/>
      <c r="F36" s="123">
        <f>SUM(F28:F35)</f>
        <v>0</v>
      </c>
    </row>
    <row r="37" spans="1:6" ht="22.5" thickBot="1" thickTop="1">
      <c r="A37" s="320"/>
      <c r="B37" s="225" t="s">
        <v>173</v>
      </c>
      <c r="C37" s="355"/>
      <c r="D37" s="124"/>
      <c r="E37" s="770"/>
      <c r="F37" s="125">
        <f>+F36</f>
        <v>0</v>
      </c>
    </row>
    <row r="38" spans="1:6" ht="21.75" thickTop="1">
      <c r="A38" s="29"/>
      <c r="B38" s="87"/>
      <c r="C38" s="356"/>
      <c r="D38" s="126"/>
      <c r="E38" s="771"/>
      <c r="F38" s="127"/>
    </row>
    <row r="39" spans="1:6" ht="18.75">
      <c r="A39" s="98" t="s">
        <v>76</v>
      </c>
      <c r="B39" s="88" t="s">
        <v>49</v>
      </c>
      <c r="C39" s="357"/>
      <c r="D39" s="128"/>
      <c r="E39" s="772"/>
      <c r="F39" s="129"/>
    </row>
    <row r="40" spans="1:6" ht="6" customHeight="1">
      <c r="A40" s="99"/>
      <c r="B40" s="89"/>
      <c r="C40" s="358"/>
      <c r="D40" s="130"/>
      <c r="E40" s="773"/>
      <c r="F40" s="131"/>
    </row>
    <row r="41" spans="1:6" ht="15">
      <c r="A41" s="100" t="s">
        <v>369</v>
      </c>
      <c r="B41" s="90" t="s">
        <v>95</v>
      </c>
      <c r="C41" s="353"/>
      <c r="D41" s="119"/>
      <c r="E41" s="774"/>
      <c r="F41" s="120">
        <f>+F149</f>
        <v>0</v>
      </c>
    </row>
    <row r="42" spans="1:6" ht="15">
      <c r="A42" s="169" t="s">
        <v>717</v>
      </c>
      <c r="B42" s="170" t="s">
        <v>254</v>
      </c>
      <c r="C42" s="353"/>
      <c r="D42" s="119"/>
      <c r="E42" s="774"/>
      <c r="F42" s="120">
        <f>+F203</f>
        <v>0</v>
      </c>
    </row>
    <row r="43" spans="1:6" ht="15">
      <c r="A43" s="169" t="s">
        <v>78</v>
      </c>
      <c r="B43" s="170" t="s">
        <v>255</v>
      </c>
      <c r="C43" s="353"/>
      <c r="D43" s="119"/>
      <c r="E43" s="774"/>
      <c r="F43" s="120">
        <f>+F310</f>
        <v>0</v>
      </c>
    </row>
    <row r="44" spans="1:6" ht="15">
      <c r="A44" s="169" t="s">
        <v>114</v>
      </c>
      <c r="B44" s="170" t="s">
        <v>256</v>
      </c>
      <c r="C44" s="353"/>
      <c r="D44" s="119"/>
      <c r="E44" s="774"/>
      <c r="F44" s="120">
        <f>+F362</f>
        <v>0</v>
      </c>
    </row>
    <row r="45" spans="1:6" ht="15">
      <c r="A45" s="169" t="s">
        <v>257</v>
      </c>
      <c r="B45" s="45" t="s">
        <v>22</v>
      </c>
      <c r="C45" s="273"/>
      <c r="D45" s="107"/>
      <c r="E45" s="775"/>
      <c r="F45" s="108">
        <f>+F418</f>
        <v>0</v>
      </c>
    </row>
    <row r="46" spans="1:6" ht="15">
      <c r="A46" s="169" t="s">
        <v>258</v>
      </c>
      <c r="B46" s="69" t="s">
        <v>115</v>
      </c>
      <c r="C46" s="273"/>
      <c r="D46" s="107"/>
      <c r="E46" s="775"/>
      <c r="F46" s="132">
        <f>+F446</f>
        <v>0</v>
      </c>
    </row>
    <row r="47" spans="1:6" ht="15">
      <c r="A47" s="169" t="s">
        <v>259</v>
      </c>
      <c r="B47" s="69" t="s">
        <v>260</v>
      </c>
      <c r="C47" s="273"/>
      <c r="D47" s="107"/>
      <c r="E47" s="775"/>
      <c r="F47" s="132">
        <f>+F479</f>
        <v>0</v>
      </c>
    </row>
    <row r="48" spans="1:6" ht="15">
      <c r="A48" s="100" t="s">
        <v>415</v>
      </c>
      <c r="B48" s="69" t="s">
        <v>416</v>
      </c>
      <c r="C48" s="273"/>
      <c r="D48" s="107"/>
      <c r="E48" s="775"/>
      <c r="F48" s="132">
        <f>+F762</f>
        <v>0</v>
      </c>
    </row>
    <row r="49" spans="1:6" ht="15">
      <c r="A49" s="236"/>
      <c r="B49" s="172"/>
      <c r="C49" s="274"/>
      <c r="D49" s="135"/>
      <c r="E49" s="776"/>
      <c r="F49" s="136"/>
    </row>
    <row r="50" spans="1:6" ht="15">
      <c r="A50" s="217"/>
      <c r="B50" s="217" t="s">
        <v>85</v>
      </c>
      <c r="C50" s="351"/>
      <c r="D50" s="115"/>
      <c r="E50" s="764"/>
      <c r="F50" s="115">
        <f>SUM(F41:F49)</f>
        <v>0</v>
      </c>
    </row>
    <row r="51" spans="1:6" s="91" customFormat="1" ht="15">
      <c r="A51" s="29"/>
      <c r="B51" s="50"/>
      <c r="C51" s="356"/>
      <c r="D51" s="126"/>
      <c r="E51" s="771"/>
      <c r="F51" s="126"/>
    </row>
    <row r="52" spans="1:6" s="91" customFormat="1" ht="18.75">
      <c r="A52" s="638" t="s">
        <v>77</v>
      </c>
      <c r="B52" s="92" t="s">
        <v>50</v>
      </c>
      <c r="C52" s="359"/>
      <c r="D52" s="133"/>
      <c r="E52" s="777"/>
      <c r="F52" s="134"/>
    </row>
    <row r="53" spans="1:6" s="91" customFormat="1" ht="15">
      <c r="A53" s="100" t="s">
        <v>79</v>
      </c>
      <c r="B53" s="206" t="s">
        <v>401</v>
      </c>
      <c r="C53" s="360"/>
      <c r="D53" s="207"/>
      <c r="E53" s="778"/>
      <c r="F53" s="655">
        <f>+F840</f>
        <v>0</v>
      </c>
    </row>
    <row r="54" spans="1:6" s="91" customFormat="1" ht="15">
      <c r="A54" s="100" t="s">
        <v>80</v>
      </c>
      <c r="B54" s="45" t="s">
        <v>24</v>
      </c>
      <c r="C54" s="273"/>
      <c r="D54" s="107"/>
      <c r="E54" s="775"/>
      <c r="F54" s="108">
        <f>+F878</f>
        <v>0</v>
      </c>
    </row>
    <row r="55" spans="1:6" s="91" customFormat="1" ht="15">
      <c r="A55" s="100" t="s">
        <v>81</v>
      </c>
      <c r="B55" s="45" t="s">
        <v>119</v>
      </c>
      <c r="C55" s="273"/>
      <c r="D55" s="107"/>
      <c r="E55" s="775"/>
      <c r="F55" s="108">
        <f>+F942</f>
        <v>0</v>
      </c>
    </row>
    <row r="56" spans="1:6" s="91" customFormat="1" ht="15">
      <c r="A56" s="100" t="s">
        <v>82</v>
      </c>
      <c r="B56" s="45" t="s">
        <v>120</v>
      </c>
      <c r="C56" s="273"/>
      <c r="D56" s="107"/>
      <c r="E56" s="775"/>
      <c r="F56" s="108">
        <f>+F993</f>
        <v>0</v>
      </c>
    </row>
    <row r="57" spans="1:6" s="91" customFormat="1" ht="15">
      <c r="A57" s="100" t="s">
        <v>83</v>
      </c>
      <c r="B57" s="45" t="s">
        <v>121</v>
      </c>
      <c r="C57" s="273"/>
      <c r="D57" s="107"/>
      <c r="E57" s="775"/>
      <c r="F57" s="108">
        <f>+F1020</f>
        <v>0</v>
      </c>
    </row>
    <row r="58" spans="1:6" s="91" customFormat="1" ht="15">
      <c r="A58" s="100" t="s">
        <v>122</v>
      </c>
      <c r="B58" s="45" t="s">
        <v>23</v>
      </c>
      <c r="C58" s="273"/>
      <c r="D58" s="107"/>
      <c r="E58" s="775"/>
      <c r="F58" s="108">
        <f>+F1047</f>
        <v>0</v>
      </c>
    </row>
    <row r="59" spans="1:6" s="91" customFormat="1" ht="15">
      <c r="A59" s="100" t="s">
        <v>84</v>
      </c>
      <c r="B59" s="45" t="s">
        <v>123</v>
      </c>
      <c r="C59" s="273"/>
      <c r="D59" s="107"/>
      <c r="E59" s="775"/>
      <c r="F59" s="108">
        <f>+F1069</f>
        <v>0</v>
      </c>
    </row>
    <row r="60" spans="1:6" s="91" customFormat="1" ht="15">
      <c r="A60" s="100" t="s">
        <v>124</v>
      </c>
      <c r="B60" s="45" t="s">
        <v>414</v>
      </c>
      <c r="C60" s="273"/>
      <c r="D60" s="107"/>
      <c r="E60" s="775"/>
      <c r="F60" s="108">
        <f>+F1091</f>
        <v>0</v>
      </c>
    </row>
    <row r="61" spans="1:6" s="91" customFormat="1" ht="15">
      <c r="A61" s="100" t="s">
        <v>125</v>
      </c>
      <c r="B61" s="45" t="s">
        <v>163</v>
      </c>
      <c r="C61" s="273"/>
      <c r="D61" s="107"/>
      <c r="E61" s="775"/>
      <c r="F61" s="108">
        <f>+F1135</f>
        <v>0</v>
      </c>
    </row>
    <row r="62" spans="1:6" s="91" customFormat="1" ht="15">
      <c r="A62" s="100" t="s">
        <v>402</v>
      </c>
      <c r="B62" s="46" t="s">
        <v>413</v>
      </c>
      <c r="C62" s="310"/>
      <c r="D62" s="110"/>
      <c r="E62" s="779"/>
      <c r="F62" s="111">
        <f>+F1154</f>
        <v>0</v>
      </c>
    </row>
    <row r="63" spans="1:6" s="91" customFormat="1" ht="15">
      <c r="A63" s="100" t="s">
        <v>403</v>
      </c>
      <c r="B63" s="46" t="s">
        <v>1255</v>
      </c>
      <c r="C63" s="310"/>
      <c r="D63" s="110"/>
      <c r="E63" s="779"/>
      <c r="F63" s="111">
        <f>+F1177</f>
        <v>0</v>
      </c>
    </row>
    <row r="64" spans="1:6" s="91" customFormat="1" ht="15">
      <c r="A64" s="100" t="s">
        <v>1261</v>
      </c>
      <c r="B64" s="172" t="s">
        <v>411</v>
      </c>
      <c r="C64" s="274"/>
      <c r="D64" s="135"/>
      <c r="E64" s="776"/>
      <c r="F64" s="137">
        <f>+F1244</f>
        <v>0</v>
      </c>
    </row>
    <row r="65" spans="1:6" s="91" customFormat="1" ht="15">
      <c r="A65" s="203"/>
      <c r="B65" s="203" t="s">
        <v>86</v>
      </c>
      <c r="C65" s="361"/>
      <c r="D65" s="138"/>
      <c r="E65" s="780"/>
      <c r="F65" s="138">
        <f>SUM(F53:F64)</f>
        <v>0</v>
      </c>
    </row>
    <row r="66" spans="1:6" ht="15">
      <c r="A66" s="29"/>
      <c r="B66" s="50"/>
      <c r="C66" s="356"/>
      <c r="D66" s="126"/>
      <c r="E66" s="771"/>
      <c r="F66" s="126"/>
    </row>
    <row r="67" spans="1:6" ht="15">
      <c r="A67" s="29"/>
      <c r="B67" s="50"/>
      <c r="C67" s="356"/>
      <c r="D67" s="126"/>
      <c r="E67" s="771"/>
      <c r="F67" s="126"/>
    </row>
    <row r="68" spans="1:6" ht="18.75">
      <c r="A68" s="74" t="s">
        <v>76</v>
      </c>
      <c r="B68" s="75" t="s">
        <v>49</v>
      </c>
      <c r="C68" s="362"/>
      <c r="D68" s="139"/>
      <c r="E68" s="781"/>
      <c r="F68" s="139"/>
    </row>
    <row r="69" spans="1:6" ht="15">
      <c r="A69" s="321" t="s">
        <v>34</v>
      </c>
      <c r="B69" s="93" t="s">
        <v>35</v>
      </c>
      <c r="C69" s="363" t="s">
        <v>52</v>
      </c>
      <c r="D69" s="140" t="s">
        <v>51</v>
      </c>
      <c r="E69" s="782" t="s">
        <v>113</v>
      </c>
      <c r="F69" s="141" t="s">
        <v>36</v>
      </c>
    </row>
    <row r="70" spans="1:6" ht="15.75">
      <c r="A70" s="322" t="s">
        <v>370</v>
      </c>
      <c r="B70" s="54" t="s">
        <v>95</v>
      </c>
      <c r="C70" s="364"/>
      <c r="D70" s="142"/>
      <c r="E70" s="783"/>
      <c r="F70" s="143"/>
    </row>
    <row r="71" spans="1:6" ht="15">
      <c r="A71" s="323"/>
      <c r="B71" s="55" t="s">
        <v>30</v>
      </c>
      <c r="C71" s="365"/>
      <c r="D71" s="144"/>
      <c r="E71" s="784"/>
      <c r="F71" s="145"/>
    </row>
    <row r="72" spans="1:6" ht="123.75">
      <c r="A72" s="324" t="s">
        <v>25</v>
      </c>
      <c r="B72" s="228" t="s">
        <v>153</v>
      </c>
      <c r="C72" s="366"/>
      <c r="D72" s="144"/>
      <c r="E72" s="784"/>
      <c r="F72" s="145"/>
    </row>
    <row r="73" spans="1:6" ht="306.75" customHeight="1">
      <c r="A73" s="324" t="s">
        <v>26</v>
      </c>
      <c r="B73" s="60" t="s">
        <v>141</v>
      </c>
      <c r="C73" s="365"/>
      <c r="D73" s="144"/>
      <c r="E73" s="784"/>
      <c r="F73" s="145"/>
    </row>
    <row r="74" spans="1:6" ht="24">
      <c r="A74" s="52"/>
      <c r="B74" s="229" t="s">
        <v>140</v>
      </c>
      <c r="C74" s="365"/>
      <c r="D74" s="144"/>
      <c r="E74" s="784"/>
      <c r="F74" s="145"/>
    </row>
    <row r="75" spans="1:6" ht="72">
      <c r="A75" s="52"/>
      <c r="B75" s="229" t="s">
        <v>177</v>
      </c>
      <c r="C75" s="365"/>
      <c r="D75" s="144"/>
      <c r="E75" s="784"/>
      <c r="F75" s="145"/>
    </row>
    <row r="76" spans="1:6" ht="88.5" customHeight="1">
      <c r="A76" s="100"/>
      <c r="B76" s="57" t="s">
        <v>159</v>
      </c>
      <c r="C76" s="303"/>
      <c r="D76" s="119"/>
      <c r="E76" s="774"/>
      <c r="F76" s="146"/>
    </row>
    <row r="77" spans="1:6" ht="63.75">
      <c r="A77" s="100"/>
      <c r="B77" s="168" t="s">
        <v>253</v>
      </c>
      <c r="C77" s="303"/>
      <c r="D77" s="119"/>
      <c r="E77" s="774"/>
      <c r="F77" s="146"/>
    </row>
    <row r="78" spans="1:6" ht="15">
      <c r="A78" s="100"/>
      <c r="B78" s="412"/>
      <c r="C78" s="303"/>
      <c r="D78" s="119"/>
      <c r="E78" s="785"/>
      <c r="F78" s="146"/>
    </row>
    <row r="79" spans="1:6" ht="15">
      <c r="A79" s="100" t="s">
        <v>178</v>
      </c>
      <c r="B79" s="412" t="s">
        <v>179</v>
      </c>
      <c r="C79" s="303" t="s">
        <v>1214</v>
      </c>
      <c r="D79" s="119">
        <f>0.97+0.46+0.82+0.35+1.98+2.32</f>
        <v>6.9</v>
      </c>
      <c r="E79" s="757"/>
      <c r="F79" s="146">
        <f>+D79*E79</f>
        <v>0</v>
      </c>
    </row>
    <row r="80" spans="1:6" ht="15">
      <c r="A80" s="100" t="s">
        <v>180</v>
      </c>
      <c r="B80" s="412" t="s">
        <v>181</v>
      </c>
      <c r="C80" s="303"/>
      <c r="D80" s="119"/>
      <c r="E80" s="757"/>
      <c r="F80" s="146"/>
    </row>
    <row r="81" spans="1:6" ht="15">
      <c r="A81" s="100" t="s">
        <v>1</v>
      </c>
      <c r="B81" s="403" t="s">
        <v>182</v>
      </c>
      <c r="C81" s="303" t="s">
        <v>183</v>
      </c>
      <c r="D81" s="107">
        <v>2</v>
      </c>
      <c r="E81" s="757"/>
      <c r="F81" s="146">
        <f aca="true" t="shared" si="0" ref="F81:F96">+D81*E81</f>
        <v>0</v>
      </c>
    </row>
    <row r="82" spans="1:6" ht="15">
      <c r="A82" s="100" t="s">
        <v>2</v>
      </c>
      <c r="B82" s="403" t="s">
        <v>184</v>
      </c>
      <c r="C82" s="273" t="s">
        <v>183</v>
      </c>
      <c r="D82" s="107">
        <v>1</v>
      </c>
      <c r="E82" s="757"/>
      <c r="F82" s="146">
        <f t="shared" si="0"/>
        <v>0</v>
      </c>
    </row>
    <row r="83" spans="1:6" ht="15">
      <c r="A83" s="100" t="s">
        <v>3</v>
      </c>
      <c r="B83" s="226" t="s">
        <v>185</v>
      </c>
      <c r="C83" s="303" t="s">
        <v>183</v>
      </c>
      <c r="D83" s="107">
        <v>1</v>
      </c>
      <c r="E83" s="757"/>
      <c r="F83" s="146">
        <f t="shared" si="0"/>
        <v>0</v>
      </c>
    </row>
    <row r="84" spans="1:6" ht="15">
      <c r="A84" s="100" t="s">
        <v>4</v>
      </c>
      <c r="B84" s="226" t="s">
        <v>186</v>
      </c>
      <c r="C84" s="303" t="s">
        <v>183</v>
      </c>
      <c r="D84" s="107">
        <v>1</v>
      </c>
      <c r="E84" s="757"/>
      <c r="F84" s="146">
        <f t="shared" si="0"/>
        <v>0</v>
      </c>
    </row>
    <row r="85" spans="1:6" ht="15">
      <c r="A85" s="100" t="s">
        <v>5</v>
      </c>
      <c r="B85" s="226" t="s">
        <v>187</v>
      </c>
      <c r="C85" s="303" t="s">
        <v>183</v>
      </c>
      <c r="D85" s="107">
        <v>1</v>
      </c>
      <c r="E85" s="757"/>
      <c r="F85" s="146">
        <f t="shared" si="0"/>
        <v>0</v>
      </c>
    </row>
    <row r="86" spans="1:6" ht="15">
      <c r="A86" s="100" t="s">
        <v>8</v>
      </c>
      <c r="B86" s="226" t="s">
        <v>188</v>
      </c>
      <c r="C86" s="303" t="s">
        <v>183</v>
      </c>
      <c r="D86" s="107">
        <v>1</v>
      </c>
      <c r="E86" s="757"/>
      <c r="F86" s="146">
        <f t="shared" si="0"/>
        <v>0</v>
      </c>
    </row>
    <row r="87" spans="1:6" ht="30">
      <c r="A87" s="100" t="s">
        <v>189</v>
      </c>
      <c r="B87" s="412" t="s">
        <v>190</v>
      </c>
      <c r="C87" s="303" t="s">
        <v>1214</v>
      </c>
      <c r="D87" s="107">
        <f>1.89+6.57+6.54+1.85</f>
        <v>16.85</v>
      </c>
      <c r="E87" s="757"/>
      <c r="F87" s="146">
        <f t="shared" si="0"/>
        <v>0</v>
      </c>
    </row>
    <row r="88" spans="1:6" ht="15">
      <c r="A88" s="100" t="s">
        <v>191</v>
      </c>
      <c r="B88" s="226" t="s">
        <v>192</v>
      </c>
      <c r="C88" s="303" t="s">
        <v>1214</v>
      </c>
      <c r="D88" s="107">
        <f>0.28+1.36+1.29+0.13+1.56+0.26</f>
        <v>4.88</v>
      </c>
      <c r="E88" s="757"/>
      <c r="F88" s="146">
        <f t="shared" si="0"/>
        <v>0</v>
      </c>
    </row>
    <row r="89" spans="1:6" ht="15">
      <c r="A89" s="100" t="s">
        <v>193</v>
      </c>
      <c r="B89" s="226" t="s">
        <v>194</v>
      </c>
      <c r="C89" s="303" t="s">
        <v>1214</v>
      </c>
      <c r="D89" s="107">
        <f>2.23+0.68</f>
        <v>2.91</v>
      </c>
      <c r="E89" s="757"/>
      <c r="F89" s="147">
        <f t="shared" si="0"/>
        <v>0</v>
      </c>
    </row>
    <row r="90" spans="1:6" ht="30">
      <c r="A90" s="100" t="s">
        <v>195</v>
      </c>
      <c r="B90" s="226" t="s">
        <v>196</v>
      </c>
      <c r="C90" s="303" t="s">
        <v>1214</v>
      </c>
      <c r="D90" s="107">
        <f>3.7+3.78+1.33+3.78+1.33+3.78+1.33+1.62+1.33+0.13</f>
        <v>22.110000000000003</v>
      </c>
      <c r="E90" s="757"/>
      <c r="F90" s="147">
        <f t="shared" si="0"/>
        <v>0</v>
      </c>
    </row>
    <row r="91" spans="1:6" ht="30">
      <c r="A91" s="100" t="s">
        <v>197</v>
      </c>
      <c r="B91" s="226" t="s">
        <v>198</v>
      </c>
      <c r="C91" s="303" t="s">
        <v>1214</v>
      </c>
      <c r="D91" s="107">
        <f>0.33+5.85+3.33+3.33+3.33+2.88</f>
        <v>19.05</v>
      </c>
      <c r="E91" s="757"/>
      <c r="F91" s="147">
        <f t="shared" si="0"/>
        <v>0</v>
      </c>
    </row>
    <row r="92" spans="1:6" ht="30">
      <c r="A92" s="100" t="s">
        <v>199</v>
      </c>
      <c r="B92" s="226" t="s">
        <v>200</v>
      </c>
      <c r="C92" s="303" t="s">
        <v>1214</v>
      </c>
      <c r="D92" s="107">
        <f>0.78+0.78+0.78+0.78+0.65+0.78</f>
        <v>4.55</v>
      </c>
      <c r="E92" s="757"/>
      <c r="F92" s="147">
        <f t="shared" si="0"/>
        <v>0</v>
      </c>
    </row>
    <row r="93" spans="1:6" ht="15">
      <c r="A93" s="100" t="s">
        <v>201</v>
      </c>
      <c r="B93" s="226" t="s">
        <v>202</v>
      </c>
      <c r="C93" s="303" t="s">
        <v>1214</v>
      </c>
      <c r="D93" s="107">
        <f>0.25*0.4*2*2.6*1.03</f>
        <v>0.5356000000000001</v>
      </c>
      <c r="E93" s="757"/>
      <c r="F93" s="147">
        <f t="shared" si="0"/>
        <v>0</v>
      </c>
    </row>
    <row r="94" spans="1:6" ht="30">
      <c r="A94" s="100" t="s">
        <v>203</v>
      </c>
      <c r="B94" s="226" t="s">
        <v>204</v>
      </c>
      <c r="C94" s="303" t="s">
        <v>1214</v>
      </c>
      <c r="D94" s="107">
        <f>2.21*3.11*0.17*6</f>
        <v>7.010562</v>
      </c>
      <c r="E94" s="757"/>
      <c r="F94" s="147">
        <f t="shared" si="0"/>
        <v>0</v>
      </c>
    </row>
    <row r="95" spans="1:6" ht="30">
      <c r="A95" s="100" t="s">
        <v>205</v>
      </c>
      <c r="B95" s="226" t="s">
        <v>206</v>
      </c>
      <c r="C95" s="303" t="s">
        <v>1214</v>
      </c>
      <c r="D95" s="107">
        <f>0.12+0.45+1.14+0.87+0.21+0.37+0.1+0.03+0.15+0.48</f>
        <v>3.92</v>
      </c>
      <c r="E95" s="757"/>
      <c r="F95" s="147">
        <f t="shared" si="0"/>
        <v>0</v>
      </c>
    </row>
    <row r="96" spans="1:6" ht="15">
      <c r="A96" s="100" t="s">
        <v>207</v>
      </c>
      <c r="B96" s="226" t="s">
        <v>208</v>
      </c>
      <c r="C96" s="303" t="s">
        <v>1214</v>
      </c>
      <c r="D96" s="107">
        <f>1.35*0.25*0.3*3*5</f>
        <v>1.51875</v>
      </c>
      <c r="E96" s="757"/>
      <c r="F96" s="147">
        <f t="shared" si="0"/>
        <v>0</v>
      </c>
    </row>
    <row r="97" spans="1:6" ht="30">
      <c r="A97" s="100" t="s">
        <v>209</v>
      </c>
      <c r="B97" s="226" t="s">
        <v>210</v>
      </c>
      <c r="C97" s="303"/>
      <c r="D97" s="107"/>
      <c r="E97" s="786"/>
      <c r="F97" s="147"/>
    </row>
    <row r="98" spans="1:6" ht="15">
      <c r="A98" s="100" t="s">
        <v>1</v>
      </c>
      <c r="B98" s="226" t="s">
        <v>211</v>
      </c>
      <c r="C98" s="303" t="s">
        <v>1215</v>
      </c>
      <c r="D98" s="107">
        <f>71.04+96.14+36.54+36.54+36.54+20.12</f>
        <v>296.92</v>
      </c>
      <c r="E98" s="757"/>
      <c r="F98" s="147">
        <f>+D98*E98</f>
        <v>0</v>
      </c>
    </row>
    <row r="99" spans="1:6" ht="15">
      <c r="A99" s="100" t="s">
        <v>2</v>
      </c>
      <c r="B99" s="226" t="s">
        <v>212</v>
      </c>
      <c r="C99" s="303" t="s">
        <v>1215</v>
      </c>
      <c r="D99" s="107">
        <f>20.98+56.64+48.53+40.51+14.54+71.81+71.81+71.81+64.18</f>
        <v>460.81</v>
      </c>
      <c r="E99" s="757"/>
      <c r="F99" s="147">
        <f>+D99*E99</f>
        <v>0</v>
      </c>
    </row>
    <row r="100" spans="1:6" ht="15">
      <c r="A100" s="100" t="s">
        <v>213</v>
      </c>
      <c r="B100" s="226" t="s">
        <v>214</v>
      </c>
      <c r="C100" s="303" t="s">
        <v>1214</v>
      </c>
      <c r="D100" s="107">
        <v>1.25</v>
      </c>
      <c r="E100" s="757"/>
      <c r="F100" s="147">
        <f>+D100*E100</f>
        <v>0</v>
      </c>
    </row>
    <row r="101" spans="1:6" ht="15">
      <c r="A101" s="100" t="s">
        <v>215</v>
      </c>
      <c r="B101" s="226" t="s">
        <v>216</v>
      </c>
      <c r="C101" s="303"/>
      <c r="D101" s="107"/>
      <c r="E101" s="786"/>
      <c r="F101" s="147"/>
    </row>
    <row r="102" spans="1:6" ht="15">
      <c r="A102" s="100" t="s">
        <v>1</v>
      </c>
      <c r="B102" s="226" t="s">
        <v>217</v>
      </c>
      <c r="C102" s="303" t="s">
        <v>1215</v>
      </c>
      <c r="D102" s="107">
        <f>82.53+33.49+57.55+57.29+57.29+47.7</f>
        <v>335.84999999999997</v>
      </c>
      <c r="E102" s="757"/>
      <c r="F102" s="147">
        <f>+D102*E102</f>
        <v>0</v>
      </c>
    </row>
    <row r="103" spans="1:6" ht="15">
      <c r="A103" s="100" t="s">
        <v>2</v>
      </c>
      <c r="B103" s="226" t="s">
        <v>219</v>
      </c>
      <c r="C103" s="303" t="s">
        <v>1215</v>
      </c>
      <c r="D103" s="107">
        <f>13.72+15.51+10.67</f>
        <v>39.9</v>
      </c>
      <c r="E103" s="757"/>
      <c r="F103" s="147">
        <f>+D103*E103</f>
        <v>0</v>
      </c>
    </row>
    <row r="104" spans="1:6" ht="15">
      <c r="A104" s="100" t="s">
        <v>3</v>
      </c>
      <c r="B104" s="226" t="s">
        <v>218</v>
      </c>
      <c r="C104" s="303" t="s">
        <v>1215</v>
      </c>
      <c r="D104" s="107">
        <f>117.39+129.31+139.77+139.77+101.3</f>
        <v>627.54</v>
      </c>
      <c r="E104" s="757"/>
      <c r="F104" s="147">
        <f>+D104*E104</f>
        <v>0</v>
      </c>
    </row>
    <row r="105" spans="1:6" ht="15">
      <c r="A105" s="100" t="s">
        <v>220</v>
      </c>
      <c r="B105" s="226" t="s">
        <v>221</v>
      </c>
      <c r="C105" s="303"/>
      <c r="D105" s="107"/>
      <c r="E105" s="786"/>
      <c r="F105" s="147"/>
    </row>
    <row r="106" spans="1:6" ht="15">
      <c r="A106" s="100" t="s">
        <v>1</v>
      </c>
      <c r="B106" s="226" t="s">
        <v>222</v>
      </c>
      <c r="C106" s="303" t="s">
        <v>1215</v>
      </c>
      <c r="D106" s="107">
        <f>19.93+2.99+6.82+2.27+6.84+3.72+14.04+1.95+1.57+4.69+14.04+3.21+5.75</f>
        <v>87.82000000000001</v>
      </c>
      <c r="E106" s="757"/>
      <c r="F106" s="147">
        <f aca="true" t="shared" si="1" ref="F106:F132">+D106*E106</f>
        <v>0</v>
      </c>
    </row>
    <row r="107" spans="1:6" ht="15">
      <c r="A107" s="100" t="s">
        <v>2</v>
      </c>
      <c r="B107" s="226" t="s">
        <v>223</v>
      </c>
      <c r="C107" s="303" t="s">
        <v>1215</v>
      </c>
      <c r="D107" s="107">
        <f>33.49+9.85</f>
        <v>43.34</v>
      </c>
      <c r="E107" s="757"/>
      <c r="F107" s="147">
        <f t="shared" si="1"/>
        <v>0</v>
      </c>
    </row>
    <row r="108" spans="1:6" ht="15">
      <c r="A108" s="100" t="s">
        <v>3</v>
      </c>
      <c r="B108" s="226" t="s">
        <v>224</v>
      </c>
      <c r="C108" s="303" t="s">
        <v>1215</v>
      </c>
      <c r="D108" s="107">
        <f>12.52+14.91+14.83+14.84+15.05+15.04+15.12+15.04</f>
        <v>117.35</v>
      </c>
      <c r="E108" s="757"/>
      <c r="F108" s="147">
        <f t="shared" si="1"/>
        <v>0</v>
      </c>
    </row>
    <row r="109" spans="1:6" ht="18.75" customHeight="1">
      <c r="A109" s="100" t="s">
        <v>4</v>
      </c>
      <c r="B109" s="226" t="s">
        <v>225</v>
      </c>
      <c r="C109" s="303" t="s">
        <v>1215</v>
      </c>
      <c r="D109" s="107">
        <f>28.06+36.48+36.48+20.12</f>
        <v>121.13999999999999</v>
      </c>
      <c r="E109" s="757"/>
      <c r="F109" s="147">
        <f t="shared" si="1"/>
        <v>0</v>
      </c>
    </row>
    <row r="110" spans="1:6" ht="20.25" customHeight="1">
      <c r="A110" s="100" t="s">
        <v>5</v>
      </c>
      <c r="B110" s="226" t="s">
        <v>226</v>
      </c>
      <c r="C110" s="303" t="s">
        <v>1215</v>
      </c>
      <c r="D110" s="107">
        <f>57.55+51.09+51.09+47.7</f>
        <v>207.43</v>
      </c>
      <c r="E110" s="757"/>
      <c r="F110" s="147">
        <f t="shared" si="1"/>
        <v>0</v>
      </c>
    </row>
    <row r="111" spans="1:6" ht="30">
      <c r="A111" s="100" t="s">
        <v>8</v>
      </c>
      <c r="B111" s="226" t="s">
        <v>227</v>
      </c>
      <c r="C111" s="303" t="s">
        <v>1215</v>
      </c>
      <c r="D111" s="107">
        <f>129.31+139.77+139.77+101.3</f>
        <v>510.15000000000003</v>
      </c>
      <c r="E111" s="757"/>
      <c r="F111" s="147">
        <f t="shared" si="1"/>
        <v>0</v>
      </c>
    </row>
    <row r="112" spans="1:6" ht="15">
      <c r="A112" s="100" t="s">
        <v>228</v>
      </c>
      <c r="B112" s="226" t="s">
        <v>229</v>
      </c>
      <c r="C112" s="303" t="s">
        <v>1215</v>
      </c>
      <c r="D112" s="107">
        <f>43.34+117.35+121.14+207.43+87.82+510.15</f>
        <v>1087.23</v>
      </c>
      <c r="E112" s="757"/>
      <c r="F112" s="147">
        <f t="shared" si="1"/>
        <v>0</v>
      </c>
    </row>
    <row r="113" spans="1:6" ht="16.5" customHeight="1">
      <c r="A113" s="100" t="s">
        <v>230</v>
      </c>
      <c r="B113" s="226" t="s">
        <v>231</v>
      </c>
      <c r="C113" s="303" t="s">
        <v>1215</v>
      </c>
      <c r="D113" s="107">
        <v>1087.23</v>
      </c>
      <c r="E113" s="757"/>
      <c r="F113" s="147">
        <f t="shared" si="1"/>
        <v>0</v>
      </c>
    </row>
    <row r="114" spans="1:6" ht="15">
      <c r="A114" s="100" t="s">
        <v>232</v>
      </c>
      <c r="B114" s="226" t="s">
        <v>233</v>
      </c>
      <c r="C114" s="303" t="s">
        <v>1215</v>
      </c>
      <c r="D114" s="107">
        <f>87.82+121.14</f>
        <v>208.95999999999998</v>
      </c>
      <c r="E114" s="757"/>
      <c r="F114" s="147">
        <f t="shared" si="1"/>
        <v>0</v>
      </c>
    </row>
    <row r="115" spans="1:6" ht="15">
      <c r="A115" s="100" t="s">
        <v>234</v>
      </c>
      <c r="B115" s="226" t="s">
        <v>235</v>
      </c>
      <c r="C115" s="303" t="s">
        <v>1215</v>
      </c>
      <c r="D115" s="107">
        <f>704.04+589.68+596.6+618.65+618.65+526.03</f>
        <v>3653.6499999999996</v>
      </c>
      <c r="E115" s="757"/>
      <c r="F115" s="147">
        <f t="shared" si="1"/>
        <v>0</v>
      </c>
    </row>
    <row r="116" spans="1:6" ht="15">
      <c r="A116" s="100" t="s">
        <v>236</v>
      </c>
      <c r="B116" s="226" t="s">
        <v>237</v>
      </c>
      <c r="C116" s="303" t="s">
        <v>1215</v>
      </c>
      <c r="D116" s="107">
        <f>+(1.25+0.99+1.25)*3*2*1.5</f>
        <v>31.410000000000004</v>
      </c>
      <c r="E116" s="757"/>
      <c r="F116" s="147">
        <f t="shared" si="1"/>
        <v>0</v>
      </c>
    </row>
    <row r="117" spans="1:6" ht="30">
      <c r="A117" s="100" t="s">
        <v>238</v>
      </c>
      <c r="B117" s="226" t="s">
        <v>1323</v>
      </c>
      <c r="C117" s="303" t="s">
        <v>1214</v>
      </c>
      <c r="D117" s="107">
        <f>1.06+0.69+0.53+1.04</f>
        <v>3.3200000000000003</v>
      </c>
      <c r="E117" s="757"/>
      <c r="F117" s="147">
        <f t="shared" si="1"/>
        <v>0</v>
      </c>
    </row>
    <row r="118" spans="1:6" ht="30">
      <c r="A118" s="100" t="s">
        <v>239</v>
      </c>
      <c r="B118" s="226" t="s">
        <v>240</v>
      </c>
      <c r="C118" s="303" t="s">
        <v>1215</v>
      </c>
      <c r="D118" s="107">
        <v>76.07</v>
      </c>
      <c r="E118" s="757"/>
      <c r="F118" s="147">
        <f t="shared" si="1"/>
        <v>0</v>
      </c>
    </row>
    <row r="119" spans="1:6" ht="30">
      <c r="A119" s="100" t="s">
        <v>241</v>
      </c>
      <c r="B119" s="226" t="s">
        <v>242</v>
      </c>
      <c r="C119" s="303" t="s">
        <v>1216</v>
      </c>
      <c r="D119" s="107">
        <f>23.01+23.35</f>
        <v>46.36</v>
      </c>
      <c r="E119" s="757"/>
      <c r="F119" s="147">
        <f t="shared" si="1"/>
        <v>0</v>
      </c>
    </row>
    <row r="120" spans="1:6" ht="30">
      <c r="A120" s="100" t="s">
        <v>1295</v>
      </c>
      <c r="B120" s="226" t="s">
        <v>1168</v>
      </c>
      <c r="C120" s="303" t="s">
        <v>1215</v>
      </c>
      <c r="D120" s="107">
        <v>55</v>
      </c>
      <c r="E120" s="757"/>
      <c r="F120" s="147">
        <f>+D120*E120</f>
        <v>0</v>
      </c>
    </row>
    <row r="121" spans="1:6" ht="30">
      <c r="A121" s="100" t="s">
        <v>1296</v>
      </c>
      <c r="B121" s="226" t="s">
        <v>1324</v>
      </c>
      <c r="C121" s="303" t="s">
        <v>1215</v>
      </c>
      <c r="D121" s="107">
        <v>5</v>
      </c>
      <c r="E121" s="757"/>
      <c r="F121" s="147">
        <f>+D121*E121</f>
        <v>0</v>
      </c>
    </row>
    <row r="122" spans="1:6" ht="30">
      <c r="A122" s="100" t="s">
        <v>243</v>
      </c>
      <c r="B122" s="226" t="s">
        <v>244</v>
      </c>
      <c r="C122" s="303" t="s">
        <v>1214</v>
      </c>
      <c r="D122" s="107">
        <f>0.97+0.61+1.42+0.63+0.1+0.94+3.86</f>
        <v>8.53</v>
      </c>
      <c r="E122" s="757"/>
      <c r="F122" s="147">
        <f t="shared" si="1"/>
        <v>0</v>
      </c>
    </row>
    <row r="123" spans="1:6" ht="17.25">
      <c r="A123" s="100" t="s">
        <v>245</v>
      </c>
      <c r="B123" s="226" t="s">
        <v>1297</v>
      </c>
      <c r="C123" s="303" t="s">
        <v>246</v>
      </c>
      <c r="D123" s="107">
        <f>15+22+1+1+16+1+19+19+15</f>
        <v>109</v>
      </c>
      <c r="E123" s="757"/>
      <c r="F123" s="147">
        <f t="shared" si="1"/>
        <v>0</v>
      </c>
    </row>
    <row r="124" spans="1:6" ht="17.25">
      <c r="A124" s="100" t="s">
        <v>247</v>
      </c>
      <c r="B124" s="226" t="s">
        <v>1298</v>
      </c>
      <c r="C124" s="303" t="s">
        <v>183</v>
      </c>
      <c r="D124" s="107">
        <v>7</v>
      </c>
      <c r="E124" s="757"/>
      <c r="F124" s="147">
        <f t="shared" si="1"/>
        <v>0</v>
      </c>
    </row>
    <row r="125" spans="1:6" ht="15">
      <c r="A125" s="100" t="s">
        <v>248</v>
      </c>
      <c r="B125" s="226" t="s">
        <v>249</v>
      </c>
      <c r="C125" s="303" t="s">
        <v>1215</v>
      </c>
      <c r="D125" s="107">
        <f>41.28+47.84+19.37+19.37+19.37+9.49</f>
        <v>156.72000000000003</v>
      </c>
      <c r="E125" s="757"/>
      <c r="F125" s="147">
        <f t="shared" si="1"/>
        <v>0</v>
      </c>
    </row>
    <row r="126" spans="1:6" ht="30">
      <c r="A126" s="100" t="s">
        <v>250</v>
      </c>
      <c r="B126" s="226" t="s">
        <v>251</v>
      </c>
      <c r="C126" s="303" t="s">
        <v>1216</v>
      </c>
      <c r="D126" s="107">
        <f>15.77+19.45+21.28+21.28+21.28+16.37</f>
        <v>115.43</v>
      </c>
      <c r="E126" s="757"/>
      <c r="F126" s="147">
        <f t="shared" si="1"/>
        <v>0</v>
      </c>
    </row>
    <row r="127" spans="1:6" ht="30">
      <c r="A127" s="100" t="s">
        <v>252</v>
      </c>
      <c r="B127" s="226" t="s">
        <v>1165</v>
      </c>
      <c r="C127" s="303" t="s">
        <v>183</v>
      </c>
      <c r="D127" s="107">
        <v>5</v>
      </c>
      <c r="E127" s="757"/>
      <c r="F127" s="147">
        <f>+D127*E127</f>
        <v>0</v>
      </c>
    </row>
    <row r="128" spans="1:6" ht="45">
      <c r="A128" s="100" t="s">
        <v>718</v>
      </c>
      <c r="B128" s="226" t="s">
        <v>724</v>
      </c>
      <c r="C128" s="303" t="s">
        <v>183</v>
      </c>
      <c r="D128" s="107">
        <f>13+10+10+10+10+2</f>
        <v>55</v>
      </c>
      <c r="E128" s="757"/>
      <c r="F128" s="147">
        <f t="shared" si="1"/>
        <v>0</v>
      </c>
    </row>
    <row r="129" spans="1:6" ht="34.5" customHeight="1">
      <c r="A129" s="100" t="s">
        <v>719</v>
      </c>
      <c r="B129" s="226" t="s">
        <v>419</v>
      </c>
      <c r="C129" s="303" t="s">
        <v>183</v>
      </c>
      <c r="D129" s="107">
        <f>3+3+3+3+3+12</f>
        <v>27</v>
      </c>
      <c r="E129" s="757"/>
      <c r="F129" s="147">
        <f t="shared" si="1"/>
        <v>0</v>
      </c>
    </row>
    <row r="130" spans="1:6" ht="15">
      <c r="A130" s="100" t="s">
        <v>722</v>
      </c>
      <c r="B130" s="226" t="s">
        <v>725</v>
      </c>
      <c r="C130" s="303" t="s">
        <v>1215</v>
      </c>
      <c r="D130" s="107">
        <v>83.13</v>
      </c>
      <c r="E130" s="757"/>
      <c r="F130" s="147">
        <f t="shared" si="1"/>
        <v>0</v>
      </c>
    </row>
    <row r="131" spans="1:6" ht="15">
      <c r="A131" s="100" t="s">
        <v>723</v>
      </c>
      <c r="B131" s="226" t="s">
        <v>720</v>
      </c>
      <c r="C131" s="303" t="s">
        <v>721</v>
      </c>
      <c r="D131" s="107">
        <v>75</v>
      </c>
      <c r="E131" s="757"/>
      <c r="F131" s="147">
        <f t="shared" si="1"/>
        <v>0</v>
      </c>
    </row>
    <row r="132" spans="1:6" ht="15">
      <c r="A132" s="100" t="s">
        <v>727</v>
      </c>
      <c r="B132" s="226" t="s">
        <v>726</v>
      </c>
      <c r="C132" s="303" t="s">
        <v>1215</v>
      </c>
      <c r="D132" s="107">
        <v>43.9</v>
      </c>
      <c r="E132" s="757"/>
      <c r="F132" s="147">
        <f t="shared" si="1"/>
        <v>0</v>
      </c>
    </row>
    <row r="133" spans="1:6" ht="60">
      <c r="A133" s="100" t="s">
        <v>1166</v>
      </c>
      <c r="B133" s="413" t="s">
        <v>746</v>
      </c>
      <c r="C133" s="303"/>
      <c r="D133" s="107"/>
      <c r="E133" s="786"/>
      <c r="F133" s="147"/>
    </row>
    <row r="134" spans="1:6" ht="15">
      <c r="A134" s="100" t="s">
        <v>737</v>
      </c>
      <c r="B134" s="226" t="s">
        <v>728</v>
      </c>
      <c r="C134" s="303" t="s">
        <v>729</v>
      </c>
      <c r="D134" s="107">
        <v>470</v>
      </c>
      <c r="E134" s="757"/>
      <c r="F134" s="147">
        <f aca="true" t="shared" si="2" ref="F134:F142">+D134*E134</f>
        <v>0</v>
      </c>
    </row>
    <row r="135" spans="1:6" ht="15">
      <c r="A135" s="100" t="s">
        <v>738</v>
      </c>
      <c r="B135" s="226" t="s">
        <v>730</v>
      </c>
      <c r="C135" s="303" t="s">
        <v>729</v>
      </c>
      <c r="D135" s="107">
        <v>2.5</v>
      </c>
      <c r="E135" s="757"/>
      <c r="F135" s="147">
        <f t="shared" si="2"/>
        <v>0</v>
      </c>
    </row>
    <row r="136" spans="1:6" ht="15">
      <c r="A136" s="100" t="s">
        <v>739</v>
      </c>
      <c r="B136" s="226" t="s">
        <v>217</v>
      </c>
      <c r="C136" s="303" t="s">
        <v>721</v>
      </c>
      <c r="D136" s="107">
        <v>450</v>
      </c>
      <c r="E136" s="757"/>
      <c r="F136" s="147">
        <f t="shared" si="2"/>
        <v>0</v>
      </c>
    </row>
    <row r="137" spans="1:6" ht="15">
      <c r="A137" s="100" t="s">
        <v>740</v>
      </c>
      <c r="B137" s="226" t="s">
        <v>731</v>
      </c>
      <c r="C137" s="303" t="s">
        <v>729</v>
      </c>
      <c r="D137" s="107">
        <v>7</v>
      </c>
      <c r="E137" s="757"/>
      <c r="F137" s="147">
        <f t="shared" si="2"/>
        <v>0</v>
      </c>
    </row>
    <row r="138" spans="1:6" ht="15">
      <c r="A138" s="100" t="s">
        <v>741</v>
      </c>
      <c r="B138" s="226" t="s">
        <v>732</v>
      </c>
      <c r="C138" s="303" t="s">
        <v>729</v>
      </c>
      <c r="D138" s="107">
        <v>3</v>
      </c>
      <c r="E138" s="757"/>
      <c r="F138" s="147">
        <f t="shared" si="2"/>
        <v>0</v>
      </c>
    </row>
    <row r="139" spans="1:6" ht="15">
      <c r="A139" s="100" t="s">
        <v>742</v>
      </c>
      <c r="B139" s="226" t="s">
        <v>733</v>
      </c>
      <c r="C139" s="303" t="s">
        <v>729</v>
      </c>
      <c r="D139" s="107">
        <v>0.7</v>
      </c>
      <c r="E139" s="757"/>
      <c r="F139" s="147">
        <f t="shared" si="2"/>
        <v>0</v>
      </c>
    </row>
    <row r="140" spans="1:6" ht="30">
      <c r="A140" s="100" t="s">
        <v>743</v>
      </c>
      <c r="B140" s="226" t="s">
        <v>734</v>
      </c>
      <c r="C140" s="303" t="s">
        <v>729</v>
      </c>
      <c r="D140" s="107">
        <v>22.5</v>
      </c>
      <c r="E140" s="757"/>
      <c r="F140" s="147">
        <f t="shared" si="2"/>
        <v>0</v>
      </c>
    </row>
    <row r="141" spans="1:6" ht="15">
      <c r="A141" s="100" t="s">
        <v>744</v>
      </c>
      <c r="B141" s="226" t="s">
        <v>735</v>
      </c>
      <c r="C141" s="303" t="s">
        <v>729</v>
      </c>
      <c r="D141" s="107">
        <v>7.55</v>
      </c>
      <c r="E141" s="757"/>
      <c r="F141" s="147">
        <f t="shared" si="2"/>
        <v>0</v>
      </c>
    </row>
    <row r="142" spans="1:6" ht="15">
      <c r="A142" s="100" t="s">
        <v>745</v>
      </c>
      <c r="B142" s="226" t="s">
        <v>736</v>
      </c>
      <c r="C142" s="303" t="s">
        <v>721</v>
      </c>
      <c r="D142" s="107">
        <v>150</v>
      </c>
      <c r="E142" s="757"/>
      <c r="F142" s="147">
        <f t="shared" si="2"/>
        <v>0</v>
      </c>
    </row>
    <row r="143" spans="1:6" ht="60">
      <c r="A143" s="100" t="s">
        <v>2299</v>
      </c>
      <c r="B143" s="226" t="s">
        <v>2304</v>
      </c>
      <c r="C143" s="303"/>
      <c r="D143" s="107"/>
      <c r="E143" s="757"/>
      <c r="F143" s="147"/>
    </row>
    <row r="144" spans="1:6" ht="15">
      <c r="A144" s="100" t="s">
        <v>1</v>
      </c>
      <c r="B144" s="226" t="s">
        <v>2300</v>
      </c>
      <c r="C144" s="303" t="s">
        <v>183</v>
      </c>
      <c r="D144" s="107">
        <v>30</v>
      </c>
      <c r="E144" s="757"/>
      <c r="F144" s="147">
        <f>+D144*E144</f>
        <v>0</v>
      </c>
    </row>
    <row r="145" spans="1:6" ht="15">
      <c r="A145" s="100" t="s">
        <v>2</v>
      </c>
      <c r="B145" s="226" t="s">
        <v>2301</v>
      </c>
      <c r="C145" s="303" t="s">
        <v>183</v>
      </c>
      <c r="D145" s="107">
        <v>40</v>
      </c>
      <c r="E145" s="757"/>
      <c r="F145" s="147">
        <f>+D145*E145</f>
        <v>0</v>
      </c>
    </row>
    <row r="146" spans="1:6" ht="15">
      <c r="A146" s="100" t="s">
        <v>3</v>
      </c>
      <c r="B146" s="226" t="s">
        <v>2302</v>
      </c>
      <c r="C146" s="303" t="s">
        <v>183</v>
      </c>
      <c r="D146" s="107">
        <v>70</v>
      </c>
      <c r="E146" s="757"/>
      <c r="F146" s="147">
        <f>+D146*E146</f>
        <v>0</v>
      </c>
    </row>
    <row r="147" spans="1:6" ht="15">
      <c r="A147" s="100" t="s">
        <v>4</v>
      </c>
      <c r="B147" s="226" t="s">
        <v>2303</v>
      </c>
      <c r="C147" s="303" t="s">
        <v>183</v>
      </c>
      <c r="D147" s="107">
        <v>55</v>
      </c>
      <c r="E147" s="757"/>
      <c r="F147" s="147">
        <f>+D147*E147</f>
        <v>0</v>
      </c>
    </row>
    <row r="148" spans="1:6" ht="15">
      <c r="A148" s="100"/>
      <c r="B148" s="413"/>
      <c r="C148" s="303"/>
      <c r="D148" s="107"/>
      <c r="E148" s="786"/>
      <c r="F148" s="147"/>
    </row>
    <row r="149" spans="1:6" ht="15">
      <c r="A149" s="208"/>
      <c r="B149" s="94" t="s">
        <v>96</v>
      </c>
      <c r="C149" s="367"/>
      <c r="D149" s="148"/>
      <c r="E149" s="787"/>
      <c r="F149" s="148">
        <f>SUM(F71:F148)</f>
        <v>0</v>
      </c>
    </row>
    <row r="150" spans="1:6" ht="15">
      <c r="A150" s="325"/>
      <c r="B150" s="95"/>
      <c r="C150" s="368"/>
      <c r="D150" s="149"/>
      <c r="E150" s="788"/>
      <c r="F150" s="149"/>
    </row>
    <row r="152" spans="1:6" ht="15">
      <c r="A152" s="173" t="s">
        <v>112</v>
      </c>
      <c r="B152" s="174" t="s">
        <v>254</v>
      </c>
      <c r="C152" s="369"/>
      <c r="D152" s="175"/>
      <c r="E152" s="789"/>
      <c r="F152" s="176"/>
    </row>
    <row r="153" spans="1:6" ht="15">
      <c r="A153" s="323"/>
      <c r="B153" s="178" t="s">
        <v>30</v>
      </c>
      <c r="C153" s="365"/>
      <c r="D153" s="179"/>
      <c r="E153" s="790"/>
      <c r="F153" s="180"/>
    </row>
    <row r="154" spans="1:6" ht="22.5">
      <c r="A154" s="323" t="s">
        <v>25</v>
      </c>
      <c r="B154" s="181" t="s">
        <v>262</v>
      </c>
      <c r="C154" s="365"/>
      <c r="D154" s="179"/>
      <c r="E154" s="790"/>
      <c r="F154" s="180"/>
    </row>
    <row r="155" spans="1:6" ht="33.75">
      <c r="A155" s="323" t="s">
        <v>26</v>
      </c>
      <c r="B155" s="182" t="s">
        <v>263</v>
      </c>
      <c r="C155" s="365"/>
      <c r="D155" s="179"/>
      <c r="E155" s="790"/>
      <c r="F155" s="180"/>
    </row>
    <row r="156" spans="1:6" ht="22.5">
      <c r="A156" s="323" t="s">
        <v>27</v>
      </c>
      <c r="B156" s="182" t="s">
        <v>264</v>
      </c>
      <c r="C156" s="365"/>
      <c r="D156" s="179"/>
      <c r="E156" s="790"/>
      <c r="F156" s="180"/>
    </row>
    <row r="157" spans="1:6" ht="22.5">
      <c r="A157" s="323" t="s">
        <v>28</v>
      </c>
      <c r="B157" s="182" t="s">
        <v>265</v>
      </c>
      <c r="C157" s="365"/>
      <c r="D157" s="179"/>
      <c r="E157" s="790"/>
      <c r="F157" s="180"/>
    </row>
    <row r="158" spans="1:6" ht="15">
      <c r="A158" s="323" t="s">
        <v>29</v>
      </c>
      <c r="B158" s="182" t="s">
        <v>266</v>
      </c>
      <c r="C158" s="365"/>
      <c r="D158" s="179"/>
      <c r="E158" s="790"/>
      <c r="F158" s="180"/>
    </row>
    <row r="159" spans="1:6" ht="22.5">
      <c r="A159" s="323" t="s">
        <v>32</v>
      </c>
      <c r="B159" s="182" t="s">
        <v>267</v>
      </c>
      <c r="C159" s="365"/>
      <c r="D159" s="179"/>
      <c r="E159" s="790"/>
      <c r="F159" s="180"/>
    </row>
    <row r="160" spans="1:6" ht="22.5">
      <c r="A160" s="323" t="s">
        <v>33</v>
      </c>
      <c r="B160" s="60" t="s">
        <v>268</v>
      </c>
      <c r="C160" s="365"/>
      <c r="D160" s="179"/>
      <c r="E160" s="790"/>
      <c r="F160" s="180"/>
    </row>
    <row r="161" spans="1:6" ht="25.5" customHeight="1">
      <c r="A161" s="323"/>
      <c r="B161" s="38" t="s">
        <v>269</v>
      </c>
      <c r="C161" s="365"/>
      <c r="D161" s="179"/>
      <c r="E161" s="790"/>
      <c r="F161" s="180"/>
    </row>
    <row r="162" spans="1:6" ht="15">
      <c r="A162" s="323"/>
      <c r="B162" s="230" t="s">
        <v>270</v>
      </c>
      <c r="C162" s="365"/>
      <c r="D162" s="179"/>
      <c r="E162" s="790"/>
      <c r="F162" s="180"/>
    </row>
    <row r="163" spans="1:6" ht="15">
      <c r="A163" s="323"/>
      <c r="B163" s="230" t="s">
        <v>271</v>
      </c>
      <c r="C163" s="365"/>
      <c r="D163" s="179"/>
      <c r="E163" s="790"/>
      <c r="F163" s="180"/>
    </row>
    <row r="164" spans="1:6" ht="15">
      <c r="A164" s="323"/>
      <c r="B164" s="230" t="s">
        <v>272</v>
      </c>
      <c r="C164" s="365"/>
      <c r="D164" s="179"/>
      <c r="E164" s="790"/>
      <c r="F164" s="180"/>
    </row>
    <row r="165" spans="1:6" ht="15">
      <c r="A165" s="323"/>
      <c r="B165" s="230" t="s">
        <v>273</v>
      </c>
      <c r="C165" s="365"/>
      <c r="D165" s="179"/>
      <c r="E165" s="790"/>
      <c r="F165" s="180"/>
    </row>
    <row r="166" spans="1:6" ht="15">
      <c r="A166" s="323" t="s">
        <v>41</v>
      </c>
      <c r="B166" s="231" t="s">
        <v>274</v>
      </c>
      <c r="C166" s="365"/>
      <c r="D166" s="179"/>
      <c r="E166" s="790"/>
      <c r="F166" s="180"/>
    </row>
    <row r="167" spans="1:6" ht="15">
      <c r="A167" s="323"/>
      <c r="B167" s="230" t="s">
        <v>275</v>
      </c>
      <c r="C167" s="365"/>
      <c r="D167" s="179"/>
      <c r="E167" s="790"/>
      <c r="F167" s="180"/>
    </row>
    <row r="168" spans="1:6" ht="15">
      <c r="A168" s="323"/>
      <c r="B168" s="183" t="s">
        <v>276</v>
      </c>
      <c r="C168" s="365"/>
      <c r="D168" s="179"/>
      <c r="E168" s="790"/>
      <c r="F168" s="180"/>
    </row>
    <row r="169" spans="1:6" ht="33.75">
      <c r="A169" s="261" t="s">
        <v>44</v>
      </c>
      <c r="B169" s="60" t="s">
        <v>277</v>
      </c>
      <c r="C169" s="365"/>
      <c r="D169" s="179"/>
      <c r="E169" s="790"/>
      <c r="F169" s="180"/>
    </row>
    <row r="170" spans="1:6" ht="15">
      <c r="A170" s="261" t="s">
        <v>278</v>
      </c>
      <c r="B170" s="60" t="s">
        <v>279</v>
      </c>
      <c r="C170" s="365"/>
      <c r="D170" s="179"/>
      <c r="E170" s="790"/>
      <c r="F170" s="180"/>
    </row>
    <row r="171" spans="1:6" ht="15">
      <c r="A171" s="261"/>
      <c r="B171" s="38" t="s">
        <v>280</v>
      </c>
      <c r="C171" s="365"/>
      <c r="D171" s="179"/>
      <c r="E171" s="790"/>
      <c r="F171" s="180"/>
    </row>
    <row r="172" spans="1:6" ht="15">
      <c r="A172" s="261"/>
      <c r="B172" s="38" t="s">
        <v>281</v>
      </c>
      <c r="C172" s="365"/>
      <c r="D172" s="179"/>
      <c r="E172" s="790"/>
      <c r="F172" s="180"/>
    </row>
    <row r="173" spans="1:6" ht="15">
      <c r="A173" s="261"/>
      <c r="B173" s="38" t="s">
        <v>282</v>
      </c>
      <c r="C173" s="365"/>
      <c r="D173" s="179"/>
      <c r="E173" s="790"/>
      <c r="F173" s="180"/>
    </row>
    <row r="174" spans="1:6" ht="22.5">
      <c r="A174" s="261"/>
      <c r="B174" s="38" t="s">
        <v>283</v>
      </c>
      <c r="C174" s="365"/>
      <c r="D174" s="179"/>
      <c r="E174" s="790"/>
      <c r="F174" s="180"/>
    </row>
    <row r="175" spans="1:6" ht="15">
      <c r="A175" s="261"/>
      <c r="B175" s="38" t="s">
        <v>284</v>
      </c>
      <c r="C175" s="365"/>
      <c r="D175" s="179"/>
      <c r="E175" s="790"/>
      <c r="F175" s="180"/>
    </row>
    <row r="176" spans="1:6" ht="15">
      <c r="A176" s="261"/>
      <c r="B176" s="38" t="s">
        <v>285</v>
      </c>
      <c r="C176" s="365"/>
      <c r="D176" s="179"/>
      <c r="E176" s="790"/>
      <c r="F176" s="180"/>
    </row>
    <row r="177" spans="1:6" ht="15">
      <c r="A177" s="261"/>
      <c r="B177" s="38" t="s">
        <v>286</v>
      </c>
      <c r="C177" s="365"/>
      <c r="D177" s="179"/>
      <c r="E177" s="790"/>
      <c r="F177" s="180"/>
    </row>
    <row r="178" spans="1:6" ht="15">
      <c r="A178" s="261"/>
      <c r="B178" s="38" t="s">
        <v>287</v>
      </c>
      <c r="C178" s="365"/>
      <c r="D178" s="179"/>
      <c r="E178" s="790"/>
      <c r="F178" s="180"/>
    </row>
    <row r="179" spans="1:6" ht="15">
      <c r="A179" s="261"/>
      <c r="B179" s="38" t="s">
        <v>288</v>
      </c>
      <c r="C179" s="365"/>
      <c r="D179" s="179"/>
      <c r="E179" s="790"/>
      <c r="F179" s="180"/>
    </row>
    <row r="180" spans="1:6" ht="15">
      <c r="A180" s="261"/>
      <c r="B180" s="38" t="s">
        <v>289</v>
      </c>
      <c r="C180" s="365"/>
      <c r="D180" s="179"/>
      <c r="E180" s="790"/>
      <c r="F180" s="180"/>
    </row>
    <row r="181" spans="1:6" ht="22.5">
      <c r="A181" s="261"/>
      <c r="B181" s="38" t="s">
        <v>290</v>
      </c>
      <c r="C181" s="365"/>
      <c r="D181" s="179"/>
      <c r="E181" s="790"/>
      <c r="F181" s="180"/>
    </row>
    <row r="182" spans="1:6" ht="15">
      <c r="A182" s="261"/>
      <c r="B182" s="38" t="s">
        <v>291</v>
      </c>
      <c r="C182" s="365"/>
      <c r="D182" s="179"/>
      <c r="E182" s="790"/>
      <c r="F182" s="180"/>
    </row>
    <row r="183" spans="1:6" ht="15">
      <c r="A183" s="261"/>
      <c r="B183" s="38" t="s">
        <v>292</v>
      </c>
      <c r="C183" s="365"/>
      <c r="D183" s="179"/>
      <c r="E183" s="790"/>
      <c r="F183" s="180"/>
    </row>
    <row r="184" spans="1:6" ht="15">
      <c r="A184" s="261"/>
      <c r="B184" s="38" t="s">
        <v>293</v>
      </c>
      <c r="C184" s="365"/>
      <c r="D184" s="179"/>
      <c r="E184" s="790"/>
      <c r="F184" s="180"/>
    </row>
    <row r="185" spans="1:6" ht="33.75">
      <c r="A185" s="261"/>
      <c r="B185" s="38" t="s">
        <v>294</v>
      </c>
      <c r="C185" s="365"/>
      <c r="D185" s="179"/>
      <c r="E185" s="790"/>
      <c r="F185" s="180"/>
    </row>
    <row r="186" spans="1:6" ht="15">
      <c r="A186" s="261"/>
      <c r="B186" s="38" t="s">
        <v>295</v>
      </c>
      <c r="C186" s="365"/>
      <c r="D186" s="179"/>
      <c r="E186" s="790"/>
      <c r="F186" s="180"/>
    </row>
    <row r="187" spans="1:6" ht="22.5">
      <c r="A187" s="261"/>
      <c r="B187" s="38" t="s">
        <v>296</v>
      </c>
      <c r="C187" s="365"/>
      <c r="D187" s="179"/>
      <c r="E187" s="790"/>
      <c r="F187" s="180"/>
    </row>
    <row r="188" spans="1:6" ht="22.5">
      <c r="A188" s="261"/>
      <c r="B188" s="38" t="s">
        <v>297</v>
      </c>
      <c r="C188" s="365"/>
      <c r="D188" s="179"/>
      <c r="E188" s="790"/>
      <c r="F188" s="180"/>
    </row>
    <row r="189" spans="1:6" ht="15" customHeight="1">
      <c r="A189" s="261"/>
      <c r="B189" s="38" t="s">
        <v>298</v>
      </c>
      <c r="C189" s="365"/>
      <c r="D189" s="179"/>
      <c r="E189" s="790"/>
      <c r="F189" s="180"/>
    </row>
    <row r="190" spans="1:6" ht="15">
      <c r="A190" s="261"/>
      <c r="B190" s="38" t="s">
        <v>299</v>
      </c>
      <c r="C190" s="365"/>
      <c r="D190" s="179"/>
      <c r="E190" s="790"/>
      <c r="F190" s="180"/>
    </row>
    <row r="191" spans="1:6" ht="22.5">
      <c r="A191" s="261"/>
      <c r="B191" s="38" t="s">
        <v>300</v>
      </c>
      <c r="C191" s="365"/>
      <c r="D191" s="179"/>
      <c r="E191" s="790"/>
      <c r="F191" s="180"/>
    </row>
    <row r="192" spans="1:6" ht="24.75" customHeight="1">
      <c r="A192" s="261" t="s">
        <v>343</v>
      </c>
      <c r="B192" s="38" t="s">
        <v>43</v>
      </c>
      <c r="C192" s="365"/>
      <c r="D192" s="179"/>
      <c r="E192" s="790"/>
      <c r="F192" s="180"/>
    </row>
    <row r="193" spans="1:6" ht="15">
      <c r="A193" s="261"/>
      <c r="B193" s="170"/>
      <c r="C193" s="365"/>
      <c r="D193" s="263"/>
      <c r="E193" s="791"/>
      <c r="F193" s="264"/>
    </row>
    <row r="194" spans="1:6" ht="90">
      <c r="A194" s="265" t="s">
        <v>829</v>
      </c>
      <c r="B194" s="272" t="s">
        <v>830</v>
      </c>
      <c r="C194" s="365" t="s">
        <v>1217</v>
      </c>
      <c r="D194" s="263">
        <f>+(20.51+1.5)*2.15*2.5</f>
        <v>118.30375000000001</v>
      </c>
      <c r="E194" s="792"/>
      <c r="F194" s="264">
        <f aca="true" t="shared" si="3" ref="F194:F201">+D194*E194</f>
        <v>0</v>
      </c>
    </row>
    <row r="195" spans="1:6" ht="30">
      <c r="A195" s="265" t="s">
        <v>831</v>
      </c>
      <c r="B195" s="272" t="s">
        <v>835</v>
      </c>
      <c r="C195" s="365" t="s">
        <v>1217</v>
      </c>
      <c r="D195" s="263">
        <f>20.51+12.31</f>
        <v>32.82</v>
      </c>
      <c r="E195" s="792"/>
      <c r="F195" s="264">
        <f t="shared" si="3"/>
        <v>0</v>
      </c>
    </row>
    <row r="196" spans="1:6" ht="30">
      <c r="A196" s="265" t="s">
        <v>832</v>
      </c>
      <c r="B196" s="272" t="s">
        <v>837</v>
      </c>
      <c r="C196" s="365" t="s">
        <v>1217</v>
      </c>
      <c r="D196" s="263">
        <f>20.51*0.6*0.4</f>
        <v>4.9224000000000006</v>
      </c>
      <c r="E196" s="792"/>
      <c r="F196" s="264">
        <f t="shared" si="3"/>
        <v>0</v>
      </c>
    </row>
    <row r="197" spans="1:6" ht="15.75">
      <c r="A197" s="265" t="s">
        <v>833</v>
      </c>
      <c r="B197" s="272" t="s">
        <v>838</v>
      </c>
      <c r="C197" s="365" t="s">
        <v>1072</v>
      </c>
      <c r="D197" s="263">
        <f>3.5*20.51+2.5*3.5</f>
        <v>80.53500000000001</v>
      </c>
      <c r="E197" s="792"/>
      <c r="F197" s="264">
        <f t="shared" si="3"/>
        <v>0</v>
      </c>
    </row>
    <row r="198" spans="1:6" ht="45">
      <c r="A198" s="265" t="s">
        <v>834</v>
      </c>
      <c r="B198" s="272" t="s">
        <v>841</v>
      </c>
      <c r="C198" s="365" t="s">
        <v>1072</v>
      </c>
      <c r="D198" s="263">
        <f>3.5*20.51+2.5*3.5</f>
        <v>80.53500000000001</v>
      </c>
      <c r="E198" s="792"/>
      <c r="F198" s="264">
        <f t="shared" si="3"/>
        <v>0</v>
      </c>
    </row>
    <row r="199" spans="1:6" ht="35.25" customHeight="1">
      <c r="A199" s="265" t="s">
        <v>839</v>
      </c>
      <c r="B199" s="272" t="s">
        <v>843</v>
      </c>
      <c r="C199" s="365" t="s">
        <v>1217</v>
      </c>
      <c r="D199" s="263">
        <v>0.7</v>
      </c>
      <c r="E199" s="792"/>
      <c r="F199" s="264">
        <f t="shared" si="3"/>
        <v>0</v>
      </c>
    </row>
    <row r="200" spans="1:6" ht="60">
      <c r="A200" s="265" t="s">
        <v>840</v>
      </c>
      <c r="B200" s="272" t="s">
        <v>844</v>
      </c>
      <c r="C200" s="365" t="s">
        <v>1217</v>
      </c>
      <c r="D200" s="263">
        <f>0.8*1.2*0.15</f>
        <v>0.144</v>
      </c>
      <c r="E200" s="792"/>
      <c r="F200" s="264">
        <f t="shared" si="3"/>
        <v>0</v>
      </c>
    </row>
    <row r="201" spans="1:6" ht="45">
      <c r="A201" s="265" t="s">
        <v>1213</v>
      </c>
      <c r="B201" s="343" t="s">
        <v>1318</v>
      </c>
      <c r="C201" s="365" t="s">
        <v>1217</v>
      </c>
      <c r="D201" s="344">
        <v>3</v>
      </c>
      <c r="E201" s="793"/>
      <c r="F201" s="345">
        <f t="shared" si="3"/>
        <v>0</v>
      </c>
    </row>
    <row r="202" spans="1:6" ht="15">
      <c r="A202" s="267"/>
      <c r="B202" s="268"/>
      <c r="C202" s="305"/>
      <c r="D202" s="270"/>
      <c r="E202" s="794"/>
      <c r="F202" s="271"/>
    </row>
    <row r="203" spans="1:6" ht="15">
      <c r="A203" s="173"/>
      <c r="B203" s="186" t="s">
        <v>301</v>
      </c>
      <c r="C203" s="369"/>
      <c r="D203" s="175"/>
      <c r="E203" s="795"/>
      <c r="F203" s="187">
        <f>SUM(F153:F202)</f>
        <v>0</v>
      </c>
    </row>
    <row r="206" spans="1:6" ht="15.75">
      <c r="A206" s="404" t="s">
        <v>21</v>
      </c>
      <c r="B206" s="188" t="s">
        <v>255</v>
      </c>
      <c r="C206" s="369"/>
      <c r="D206" s="175"/>
      <c r="E206" s="789"/>
      <c r="F206" s="176"/>
    </row>
    <row r="207" spans="1:6" ht="15">
      <c r="A207" s="327"/>
      <c r="B207" s="189" t="s">
        <v>302</v>
      </c>
      <c r="C207" s="294"/>
      <c r="D207" s="190"/>
      <c r="E207" s="796"/>
      <c r="F207" s="191"/>
    </row>
    <row r="208" spans="1:6" ht="101.25">
      <c r="A208" s="328"/>
      <c r="B208" s="232" t="s">
        <v>303</v>
      </c>
      <c r="C208" s="294"/>
      <c r="D208" s="190"/>
      <c r="E208" s="796"/>
      <c r="F208" s="191"/>
    </row>
    <row r="209" spans="1:6" ht="22.5">
      <c r="A209" s="52" t="s">
        <v>25</v>
      </c>
      <c r="B209" s="37" t="s">
        <v>304</v>
      </c>
      <c r="C209" s="294"/>
      <c r="D209" s="190"/>
      <c r="E209" s="796"/>
      <c r="F209" s="191"/>
    </row>
    <row r="210" spans="1:6" ht="22.5">
      <c r="A210" s="52" t="s">
        <v>26</v>
      </c>
      <c r="B210" s="37" t="s">
        <v>305</v>
      </c>
      <c r="C210" s="294"/>
      <c r="D210" s="190"/>
      <c r="E210" s="796"/>
      <c r="F210" s="191"/>
    </row>
    <row r="211" spans="1:6" ht="15">
      <c r="A211" s="52" t="s">
        <v>306</v>
      </c>
      <c r="B211" s="37" t="s">
        <v>307</v>
      </c>
      <c r="C211" s="294"/>
      <c r="D211" s="190"/>
      <c r="E211" s="796"/>
      <c r="F211" s="191"/>
    </row>
    <row r="212" spans="1:6" ht="15">
      <c r="A212" s="52" t="s">
        <v>308</v>
      </c>
      <c r="B212" s="37" t="s">
        <v>309</v>
      </c>
      <c r="C212" s="294"/>
      <c r="D212" s="190"/>
      <c r="E212" s="796"/>
      <c r="F212" s="191"/>
    </row>
    <row r="213" spans="1:6" ht="22.5">
      <c r="A213" s="52" t="s">
        <v>310</v>
      </c>
      <c r="B213" s="37" t="s">
        <v>311</v>
      </c>
      <c r="C213" s="294"/>
      <c r="D213" s="190"/>
      <c r="E213" s="796"/>
      <c r="F213" s="191"/>
    </row>
    <row r="214" spans="1:6" ht="15">
      <c r="A214" s="52" t="s">
        <v>312</v>
      </c>
      <c r="B214" s="37" t="s">
        <v>313</v>
      </c>
      <c r="C214" s="294"/>
      <c r="D214" s="190"/>
      <c r="E214" s="796"/>
      <c r="F214" s="191"/>
    </row>
    <row r="215" spans="1:6" ht="22.5">
      <c r="A215" s="52" t="s">
        <v>314</v>
      </c>
      <c r="B215" s="37" t="s">
        <v>315</v>
      </c>
      <c r="C215" s="294"/>
      <c r="D215" s="190"/>
      <c r="E215" s="796"/>
      <c r="F215" s="191"/>
    </row>
    <row r="216" spans="1:6" ht="15">
      <c r="A216" s="52" t="s">
        <v>316</v>
      </c>
      <c r="B216" s="37" t="s">
        <v>317</v>
      </c>
      <c r="C216" s="294"/>
      <c r="D216" s="190"/>
      <c r="E216" s="796"/>
      <c r="F216" s="191"/>
    </row>
    <row r="217" spans="1:6" ht="15">
      <c r="A217" s="52" t="s">
        <v>318</v>
      </c>
      <c r="B217" s="37" t="s">
        <v>319</v>
      </c>
      <c r="C217" s="294"/>
      <c r="D217" s="190"/>
      <c r="E217" s="796"/>
      <c r="F217" s="191"/>
    </row>
    <row r="218" spans="1:6" ht="22.5">
      <c r="A218" s="52" t="s">
        <v>27</v>
      </c>
      <c r="B218" s="37" t="s">
        <v>320</v>
      </c>
      <c r="C218" s="294"/>
      <c r="D218" s="190"/>
      <c r="E218" s="796"/>
      <c r="F218" s="191"/>
    </row>
    <row r="219" spans="1:6" ht="22.5">
      <c r="A219" s="52" t="s">
        <v>321</v>
      </c>
      <c r="B219" s="37" t="s">
        <v>322</v>
      </c>
      <c r="C219" s="294"/>
      <c r="D219" s="190"/>
      <c r="E219" s="796"/>
      <c r="F219" s="191"/>
    </row>
    <row r="220" spans="1:6" ht="33.75">
      <c r="A220" s="52" t="s">
        <v>323</v>
      </c>
      <c r="B220" s="37" t="s">
        <v>324</v>
      </c>
      <c r="C220" s="294"/>
      <c r="D220" s="190"/>
      <c r="E220" s="796"/>
      <c r="F220" s="191"/>
    </row>
    <row r="221" spans="1:6" ht="22.5">
      <c r="A221" s="52" t="s">
        <v>325</v>
      </c>
      <c r="B221" s="37" t="s">
        <v>326</v>
      </c>
      <c r="C221" s="294"/>
      <c r="D221" s="190"/>
      <c r="E221" s="796"/>
      <c r="F221" s="191"/>
    </row>
    <row r="222" spans="1:6" ht="61.5" customHeight="1">
      <c r="A222" s="52" t="s">
        <v>327</v>
      </c>
      <c r="B222" s="37" t="s">
        <v>328</v>
      </c>
      <c r="C222" s="294"/>
      <c r="D222" s="190"/>
      <c r="E222" s="796"/>
      <c r="F222" s="191"/>
    </row>
    <row r="223" spans="1:6" ht="15">
      <c r="A223" s="52" t="s">
        <v>28</v>
      </c>
      <c r="B223" s="59" t="s">
        <v>329</v>
      </c>
      <c r="C223" s="294"/>
      <c r="D223" s="190"/>
      <c r="E223" s="796"/>
      <c r="F223" s="191"/>
    </row>
    <row r="224" spans="1:6" ht="22.5">
      <c r="A224" s="52" t="s">
        <v>330</v>
      </c>
      <c r="B224" s="37" t="s">
        <v>331</v>
      </c>
      <c r="C224" s="294"/>
      <c r="D224" s="190"/>
      <c r="E224" s="796"/>
      <c r="F224" s="191"/>
    </row>
    <row r="225" spans="1:6" ht="15">
      <c r="A225" s="52" t="s">
        <v>332</v>
      </c>
      <c r="B225" s="37" t="s">
        <v>333</v>
      </c>
      <c r="C225" s="294"/>
      <c r="D225" s="190"/>
      <c r="E225" s="796"/>
      <c r="F225" s="191"/>
    </row>
    <row r="226" spans="1:6" ht="15">
      <c r="A226" s="52" t="s">
        <v>334</v>
      </c>
      <c r="B226" s="37" t="s">
        <v>335</v>
      </c>
      <c r="C226" s="294"/>
      <c r="D226" s="190"/>
      <c r="E226" s="796"/>
      <c r="F226" s="191"/>
    </row>
    <row r="227" spans="1:6" ht="15">
      <c r="A227" s="52" t="s">
        <v>29</v>
      </c>
      <c r="B227" s="59" t="s">
        <v>336</v>
      </c>
      <c r="C227" s="294"/>
      <c r="D227" s="190"/>
      <c r="E227" s="796"/>
      <c r="F227" s="191"/>
    </row>
    <row r="228" spans="1:6" ht="80.25">
      <c r="A228" s="52" t="s">
        <v>337</v>
      </c>
      <c r="B228" s="37" t="s">
        <v>1169</v>
      </c>
      <c r="C228" s="294"/>
      <c r="D228" s="190"/>
      <c r="E228" s="796"/>
      <c r="F228" s="191"/>
    </row>
    <row r="229" spans="1:6" ht="15">
      <c r="A229" s="52" t="s">
        <v>32</v>
      </c>
      <c r="B229" s="59" t="s">
        <v>338</v>
      </c>
      <c r="C229" s="294"/>
      <c r="D229" s="190"/>
      <c r="E229" s="796"/>
      <c r="F229" s="191"/>
    </row>
    <row r="230" spans="1:6" ht="22.5">
      <c r="A230" s="52" t="s">
        <v>33</v>
      </c>
      <c r="B230" s="59" t="s">
        <v>339</v>
      </c>
      <c r="C230" s="294"/>
      <c r="D230" s="190"/>
      <c r="E230" s="796"/>
      <c r="F230" s="191"/>
    </row>
    <row r="231" spans="1:6" ht="33.75">
      <c r="A231" s="52" t="s">
        <v>41</v>
      </c>
      <c r="B231" s="58" t="s">
        <v>340</v>
      </c>
      <c r="C231" s="294"/>
      <c r="D231" s="190"/>
      <c r="E231" s="796"/>
      <c r="F231" s="191"/>
    </row>
    <row r="232" spans="1:6" ht="33.75">
      <c r="A232" s="52" t="s">
        <v>44</v>
      </c>
      <c r="B232" s="58" t="s">
        <v>341</v>
      </c>
      <c r="C232" s="294"/>
      <c r="D232" s="190"/>
      <c r="E232" s="796"/>
      <c r="F232" s="191"/>
    </row>
    <row r="233" spans="1:6" ht="22.5">
      <c r="A233" s="52" t="s">
        <v>278</v>
      </c>
      <c r="B233" s="58" t="s">
        <v>342</v>
      </c>
      <c r="C233" s="294"/>
      <c r="D233" s="190"/>
      <c r="E233" s="796"/>
      <c r="F233" s="191"/>
    </row>
    <row r="234" spans="1:6" ht="33.75">
      <c r="A234" s="52" t="s">
        <v>343</v>
      </c>
      <c r="B234" s="58" t="s">
        <v>344</v>
      </c>
      <c r="C234" s="294"/>
      <c r="D234" s="190"/>
      <c r="E234" s="796"/>
      <c r="F234" s="191"/>
    </row>
    <row r="235" spans="1:6" ht="15">
      <c r="A235" s="52"/>
      <c r="B235" s="233" t="s">
        <v>345</v>
      </c>
      <c r="C235" s="294"/>
      <c r="D235" s="190"/>
      <c r="E235" s="796"/>
      <c r="F235" s="191"/>
    </row>
    <row r="236" spans="1:6" ht="15">
      <c r="A236" s="52"/>
      <c r="B236" s="58" t="s">
        <v>346</v>
      </c>
      <c r="C236" s="294"/>
      <c r="D236" s="190"/>
      <c r="E236" s="796"/>
      <c r="F236" s="191"/>
    </row>
    <row r="237" spans="1:6" ht="15">
      <c r="A237" s="52"/>
      <c r="B237" s="58" t="s">
        <v>347</v>
      </c>
      <c r="C237" s="294"/>
      <c r="D237" s="190"/>
      <c r="E237" s="796"/>
      <c r="F237" s="191"/>
    </row>
    <row r="238" spans="1:6" ht="15">
      <c r="A238" s="52"/>
      <c r="B238" s="58" t="s">
        <v>348</v>
      </c>
      <c r="C238" s="294"/>
      <c r="D238" s="190"/>
      <c r="E238" s="796"/>
      <c r="F238" s="191"/>
    </row>
    <row r="239" spans="1:6" ht="15">
      <c r="A239" s="52"/>
      <c r="B239" s="58" t="s">
        <v>275</v>
      </c>
      <c r="C239" s="294"/>
      <c r="D239" s="190"/>
      <c r="E239" s="796"/>
      <c r="F239" s="191"/>
    </row>
    <row r="240" spans="1:6" ht="15">
      <c r="A240" s="52"/>
      <c r="B240" s="58" t="s">
        <v>349</v>
      </c>
      <c r="C240" s="294"/>
      <c r="D240" s="190"/>
      <c r="E240" s="796"/>
      <c r="F240" s="191"/>
    </row>
    <row r="241" spans="1:6" ht="15">
      <c r="A241" s="52"/>
      <c r="B241" s="58" t="s">
        <v>350</v>
      </c>
      <c r="C241" s="294"/>
      <c r="D241" s="190"/>
      <c r="E241" s="796"/>
      <c r="F241" s="191"/>
    </row>
    <row r="242" spans="1:6" ht="15">
      <c r="A242" s="52"/>
      <c r="B242" s="58" t="s">
        <v>351</v>
      </c>
      <c r="C242" s="294"/>
      <c r="D242" s="190"/>
      <c r="E242" s="796"/>
      <c r="F242" s="191"/>
    </row>
    <row r="243" spans="1:6" ht="15">
      <c r="A243" s="52"/>
      <c r="B243" s="58" t="s">
        <v>352</v>
      </c>
      <c r="C243" s="294"/>
      <c r="D243" s="190"/>
      <c r="E243" s="796"/>
      <c r="F243" s="191"/>
    </row>
    <row r="244" spans="1:6" ht="15">
      <c r="A244" s="52"/>
      <c r="B244" s="58" t="s">
        <v>353</v>
      </c>
      <c r="C244" s="294"/>
      <c r="D244" s="190"/>
      <c r="E244" s="796"/>
      <c r="F244" s="191"/>
    </row>
    <row r="245" spans="1:6" ht="15">
      <c r="A245" s="52"/>
      <c r="B245" s="58" t="s">
        <v>354</v>
      </c>
      <c r="C245" s="294"/>
      <c r="D245" s="190"/>
      <c r="E245" s="796"/>
      <c r="F245" s="191"/>
    </row>
    <row r="246" spans="1:6" ht="15">
      <c r="A246" s="52"/>
      <c r="B246" s="58" t="s">
        <v>355</v>
      </c>
      <c r="C246" s="294"/>
      <c r="D246" s="190"/>
      <c r="E246" s="796"/>
      <c r="F246" s="191"/>
    </row>
    <row r="247" spans="1:6" ht="15">
      <c r="A247" s="52"/>
      <c r="B247" s="233" t="s">
        <v>356</v>
      </c>
      <c r="C247" s="294"/>
      <c r="D247" s="190"/>
      <c r="E247" s="796"/>
      <c r="F247" s="191"/>
    </row>
    <row r="248" spans="1:6" ht="15">
      <c r="A248" s="52"/>
      <c r="B248" s="58" t="s">
        <v>357</v>
      </c>
      <c r="C248" s="294"/>
      <c r="D248" s="190"/>
      <c r="E248" s="796"/>
      <c r="F248" s="191"/>
    </row>
    <row r="249" spans="1:6" ht="15">
      <c r="A249" s="52"/>
      <c r="B249" s="58" t="s">
        <v>358</v>
      </c>
      <c r="C249" s="294"/>
      <c r="D249" s="190"/>
      <c r="E249" s="796"/>
      <c r="F249" s="191"/>
    </row>
    <row r="250" spans="1:6" ht="15">
      <c r="A250" s="52"/>
      <c r="B250" s="58" t="s">
        <v>359</v>
      </c>
      <c r="C250" s="294"/>
      <c r="D250" s="190"/>
      <c r="E250" s="796"/>
      <c r="F250" s="191"/>
    </row>
    <row r="251" spans="1:6" ht="15">
      <c r="A251" s="52"/>
      <c r="B251" s="233" t="s">
        <v>360</v>
      </c>
      <c r="C251" s="294"/>
      <c r="D251" s="190"/>
      <c r="E251" s="796"/>
      <c r="F251" s="191"/>
    </row>
    <row r="252" spans="1:6" ht="15">
      <c r="A252" s="52"/>
      <c r="B252" s="58" t="s">
        <v>361</v>
      </c>
      <c r="C252" s="294"/>
      <c r="D252" s="190"/>
      <c r="E252" s="796"/>
      <c r="F252" s="191"/>
    </row>
    <row r="253" spans="1:6" ht="15">
      <c r="A253" s="52"/>
      <c r="B253" s="233" t="s">
        <v>362</v>
      </c>
      <c r="C253" s="294"/>
      <c r="D253" s="190"/>
      <c r="E253" s="796"/>
      <c r="F253" s="191"/>
    </row>
    <row r="254" spans="1:6" ht="15">
      <c r="A254" s="52"/>
      <c r="B254" s="58" t="s">
        <v>363</v>
      </c>
      <c r="C254" s="294"/>
      <c r="D254" s="190"/>
      <c r="E254" s="796"/>
      <c r="F254" s="191"/>
    </row>
    <row r="255" spans="1:6" ht="15">
      <c r="A255" s="52"/>
      <c r="B255" s="58" t="s">
        <v>364</v>
      </c>
      <c r="C255" s="294"/>
      <c r="D255" s="190"/>
      <c r="E255" s="796"/>
      <c r="F255" s="191"/>
    </row>
    <row r="256" spans="1:6" ht="15">
      <c r="A256" s="52"/>
      <c r="B256" s="58" t="s">
        <v>365</v>
      </c>
      <c r="C256" s="294"/>
      <c r="D256" s="190"/>
      <c r="E256" s="796"/>
      <c r="F256" s="191"/>
    </row>
    <row r="257" spans="1:6" ht="33.75">
      <c r="A257" s="261" t="s">
        <v>366</v>
      </c>
      <c r="B257" s="58" t="s">
        <v>341</v>
      </c>
      <c r="C257" s="294"/>
      <c r="D257" s="190"/>
      <c r="E257" s="796"/>
      <c r="F257" s="191"/>
    </row>
    <row r="258" spans="1:6" ht="15">
      <c r="A258" s="261"/>
      <c r="B258" s="233" t="s">
        <v>279</v>
      </c>
      <c r="C258" s="294"/>
      <c r="D258" s="190"/>
      <c r="E258" s="796"/>
      <c r="F258" s="191"/>
    </row>
    <row r="259" spans="1:6" ht="15">
      <c r="A259" s="261"/>
      <c r="B259" s="58" t="s">
        <v>280</v>
      </c>
      <c r="C259" s="294"/>
      <c r="D259" s="190"/>
      <c r="E259" s="796"/>
      <c r="F259" s="191"/>
    </row>
    <row r="260" spans="1:6" ht="15">
      <c r="A260" s="261"/>
      <c r="B260" s="58" t="s">
        <v>281</v>
      </c>
      <c r="C260" s="294"/>
      <c r="D260" s="190"/>
      <c r="E260" s="796"/>
      <c r="F260" s="191"/>
    </row>
    <row r="261" spans="1:6" ht="15">
      <c r="A261" s="261"/>
      <c r="B261" s="58" t="s">
        <v>282</v>
      </c>
      <c r="C261" s="294"/>
      <c r="D261" s="190"/>
      <c r="E261" s="796"/>
      <c r="F261" s="191"/>
    </row>
    <row r="262" spans="1:6" ht="15">
      <c r="A262" s="261"/>
      <c r="B262" s="58" t="s">
        <v>367</v>
      </c>
      <c r="C262" s="294"/>
      <c r="D262" s="190"/>
      <c r="E262" s="796"/>
      <c r="F262" s="191"/>
    </row>
    <row r="263" spans="1:6" ht="15">
      <c r="A263" s="261"/>
      <c r="B263" s="58" t="s">
        <v>284</v>
      </c>
      <c r="C263" s="294"/>
      <c r="D263" s="190"/>
      <c r="E263" s="796"/>
      <c r="F263" s="191"/>
    </row>
    <row r="264" spans="1:6" ht="15">
      <c r="A264" s="261"/>
      <c r="B264" s="58" t="s">
        <v>285</v>
      </c>
      <c r="C264" s="294"/>
      <c r="D264" s="190"/>
      <c r="E264" s="796"/>
      <c r="F264" s="191"/>
    </row>
    <row r="265" spans="1:6" ht="15">
      <c r="A265" s="261"/>
      <c r="B265" s="58" t="s">
        <v>286</v>
      </c>
      <c r="C265" s="294"/>
      <c r="D265" s="190"/>
      <c r="E265" s="796"/>
      <c r="F265" s="191"/>
    </row>
    <row r="266" spans="1:6" ht="15">
      <c r="A266" s="261"/>
      <c r="B266" s="58" t="s">
        <v>287</v>
      </c>
      <c r="C266" s="294"/>
      <c r="D266" s="190"/>
      <c r="E266" s="796"/>
      <c r="F266" s="191"/>
    </row>
    <row r="267" spans="1:6" ht="15">
      <c r="A267" s="261"/>
      <c r="B267" s="58" t="s">
        <v>288</v>
      </c>
      <c r="C267" s="294"/>
      <c r="D267" s="190"/>
      <c r="E267" s="796"/>
      <c r="F267" s="191"/>
    </row>
    <row r="268" spans="1:6" ht="15">
      <c r="A268" s="261"/>
      <c r="B268" s="58" t="s">
        <v>289</v>
      </c>
      <c r="C268" s="294"/>
      <c r="D268" s="190"/>
      <c r="E268" s="796"/>
      <c r="F268" s="191"/>
    </row>
    <row r="269" spans="1:6" ht="22.5">
      <c r="A269" s="261"/>
      <c r="B269" s="58" t="s">
        <v>290</v>
      </c>
      <c r="C269" s="294"/>
      <c r="D269" s="190"/>
      <c r="E269" s="796"/>
      <c r="F269" s="191"/>
    </row>
    <row r="270" spans="1:6" ht="15">
      <c r="A270" s="261"/>
      <c r="B270" s="58" t="s">
        <v>291</v>
      </c>
      <c r="C270" s="294"/>
      <c r="D270" s="190"/>
      <c r="E270" s="796"/>
      <c r="F270" s="191"/>
    </row>
    <row r="271" spans="1:6" ht="15">
      <c r="A271" s="261"/>
      <c r="B271" s="58" t="s">
        <v>292</v>
      </c>
      <c r="C271" s="294"/>
      <c r="D271" s="190"/>
      <c r="E271" s="796"/>
      <c r="F271" s="191"/>
    </row>
    <row r="272" spans="1:6" ht="15">
      <c r="A272" s="261"/>
      <c r="B272" s="58" t="s">
        <v>293</v>
      </c>
      <c r="C272" s="294"/>
      <c r="D272" s="190"/>
      <c r="E272" s="796"/>
      <c r="F272" s="191"/>
    </row>
    <row r="273" spans="1:6" ht="33.75">
      <c r="A273" s="261"/>
      <c r="B273" s="58" t="s">
        <v>294</v>
      </c>
      <c r="C273" s="294"/>
      <c r="D273" s="190"/>
      <c r="E273" s="796"/>
      <c r="F273" s="191"/>
    </row>
    <row r="274" spans="1:6" ht="15">
      <c r="A274" s="261"/>
      <c r="B274" s="58" t="s">
        <v>295</v>
      </c>
      <c r="C274" s="294"/>
      <c r="D274" s="190"/>
      <c r="E274" s="796"/>
      <c r="F274" s="191"/>
    </row>
    <row r="275" spans="1:6" ht="22.5">
      <c r="A275" s="261"/>
      <c r="B275" s="58" t="s">
        <v>296</v>
      </c>
      <c r="C275" s="294"/>
      <c r="D275" s="190"/>
      <c r="E275" s="796"/>
      <c r="F275" s="191"/>
    </row>
    <row r="276" spans="1:6" ht="22.5">
      <c r="A276" s="261"/>
      <c r="B276" s="58" t="s">
        <v>297</v>
      </c>
      <c r="C276" s="294"/>
      <c r="D276" s="190"/>
      <c r="E276" s="796"/>
      <c r="F276" s="191"/>
    </row>
    <row r="277" spans="1:6" ht="15">
      <c r="A277" s="261"/>
      <c r="B277" s="58" t="s">
        <v>298</v>
      </c>
      <c r="C277" s="294"/>
      <c r="D277" s="190"/>
      <c r="E277" s="796"/>
      <c r="F277" s="191"/>
    </row>
    <row r="278" spans="1:6" ht="15">
      <c r="A278" s="261"/>
      <c r="B278" s="58" t="s">
        <v>299</v>
      </c>
      <c r="C278" s="294"/>
      <c r="D278" s="190"/>
      <c r="E278" s="796"/>
      <c r="F278" s="191"/>
    </row>
    <row r="279" spans="1:6" ht="27" customHeight="1">
      <c r="A279" s="261"/>
      <c r="B279" s="58" t="s">
        <v>300</v>
      </c>
      <c r="C279" s="294"/>
      <c r="D279" s="190"/>
      <c r="E279" s="796"/>
      <c r="F279" s="191"/>
    </row>
    <row r="280" spans="1:6" ht="22.5">
      <c r="A280" s="52" t="s">
        <v>395</v>
      </c>
      <c r="B280" s="38" t="s">
        <v>43</v>
      </c>
      <c r="C280" s="273"/>
      <c r="D280" s="107"/>
      <c r="E280" s="786"/>
      <c r="F280" s="132"/>
    </row>
    <row r="281" spans="1:6" ht="15">
      <c r="A281" s="52"/>
      <c r="B281" s="240"/>
      <c r="C281" s="273"/>
      <c r="D281" s="241"/>
      <c r="E281" s="797"/>
      <c r="F281" s="275"/>
    </row>
    <row r="282" spans="1:6" ht="95.25" customHeight="1">
      <c r="A282" s="52" t="s">
        <v>845</v>
      </c>
      <c r="B282" s="240" t="s">
        <v>846</v>
      </c>
      <c r="C282" s="273"/>
      <c r="D282" s="241"/>
      <c r="E282" s="797"/>
      <c r="F282" s="275"/>
    </row>
    <row r="283" spans="1:6" ht="15.75">
      <c r="A283" s="52" t="s">
        <v>847</v>
      </c>
      <c r="B283" s="240" t="s">
        <v>848</v>
      </c>
      <c r="C283" s="273" t="s">
        <v>1218</v>
      </c>
      <c r="D283" s="241">
        <v>281</v>
      </c>
      <c r="E283" s="798"/>
      <c r="F283" s="275">
        <f aca="true" t="shared" si="4" ref="F283:F291">+D283*E283</f>
        <v>0</v>
      </c>
    </row>
    <row r="284" spans="1:6" ht="15.75">
      <c r="A284" s="52" t="s">
        <v>2</v>
      </c>
      <c r="B284" s="240" t="s">
        <v>849</v>
      </c>
      <c r="C284" s="273" t="s">
        <v>1218</v>
      </c>
      <c r="D284" s="241">
        <v>85</v>
      </c>
      <c r="E284" s="798"/>
      <c r="F284" s="275">
        <f t="shared" si="4"/>
        <v>0</v>
      </c>
    </row>
    <row r="285" spans="1:6" ht="48">
      <c r="A285" s="52" t="s">
        <v>851</v>
      </c>
      <c r="B285" s="240" t="s">
        <v>1170</v>
      </c>
      <c r="C285" s="273" t="s">
        <v>1217</v>
      </c>
      <c r="D285" s="241">
        <v>0.86</v>
      </c>
      <c r="E285" s="798"/>
      <c r="F285" s="275">
        <f t="shared" si="4"/>
        <v>0</v>
      </c>
    </row>
    <row r="286" spans="1:6" ht="33">
      <c r="A286" s="52" t="s">
        <v>854</v>
      </c>
      <c r="B286" s="240" t="s">
        <v>1171</v>
      </c>
      <c r="C286" s="273" t="s">
        <v>1217</v>
      </c>
      <c r="D286" s="241">
        <f>+(3.15+1.65)*2*0.6*0.8</f>
        <v>4.608</v>
      </c>
      <c r="E286" s="798"/>
      <c r="F286" s="275">
        <f t="shared" si="4"/>
        <v>0</v>
      </c>
    </row>
    <row r="287" spans="1:6" ht="33">
      <c r="A287" s="52" t="s">
        <v>855</v>
      </c>
      <c r="B287" s="240" t="s">
        <v>1172</v>
      </c>
      <c r="C287" s="273" t="s">
        <v>1217</v>
      </c>
      <c r="D287" s="241">
        <f>+(4.5+2.62)*0.2*3.5</f>
        <v>4.984000000000001</v>
      </c>
      <c r="E287" s="798"/>
      <c r="F287" s="275">
        <f t="shared" si="4"/>
        <v>0</v>
      </c>
    </row>
    <row r="288" spans="1:6" ht="47.25">
      <c r="A288" s="52" t="s">
        <v>852</v>
      </c>
      <c r="B288" s="240" t="s">
        <v>858</v>
      </c>
      <c r="C288" s="273" t="s">
        <v>1217</v>
      </c>
      <c r="D288" s="241">
        <f>2.35*2.4*0.4</f>
        <v>2.256</v>
      </c>
      <c r="E288" s="798"/>
      <c r="F288" s="275">
        <f t="shared" si="4"/>
        <v>0</v>
      </c>
    </row>
    <row r="289" spans="1:6" ht="63">
      <c r="A289" s="52" t="s">
        <v>853</v>
      </c>
      <c r="B289" s="240" t="s">
        <v>1173</v>
      </c>
      <c r="C289" s="273" t="s">
        <v>1217</v>
      </c>
      <c r="D289" s="241">
        <f>17.49+0.34</f>
        <v>17.83</v>
      </c>
      <c r="E289" s="798"/>
      <c r="F289" s="275">
        <f t="shared" si="4"/>
        <v>0</v>
      </c>
    </row>
    <row r="290" spans="1:6" ht="32.25">
      <c r="A290" s="52" t="s">
        <v>856</v>
      </c>
      <c r="B290" s="240" t="s">
        <v>857</v>
      </c>
      <c r="C290" s="273" t="s">
        <v>1217</v>
      </c>
      <c r="D290" s="241">
        <f>0.43+0.16+35.65-2.74</f>
        <v>33.5</v>
      </c>
      <c r="E290" s="798"/>
      <c r="F290" s="275">
        <f t="shared" si="4"/>
        <v>0</v>
      </c>
    </row>
    <row r="291" spans="1:6" ht="32.25">
      <c r="A291" s="52" t="s">
        <v>859</v>
      </c>
      <c r="B291" s="240" t="s">
        <v>1219</v>
      </c>
      <c r="C291" s="273" t="s">
        <v>1217</v>
      </c>
      <c r="D291" s="241">
        <f>3.5*2*0.2</f>
        <v>1.4000000000000001</v>
      </c>
      <c r="E291" s="798"/>
      <c r="F291" s="275">
        <f t="shared" si="4"/>
        <v>0</v>
      </c>
    </row>
    <row r="292" spans="1:6" ht="15">
      <c r="A292" s="52" t="s">
        <v>860</v>
      </c>
      <c r="B292" s="69" t="s">
        <v>861</v>
      </c>
      <c r="C292" s="273"/>
      <c r="D292" s="241"/>
      <c r="E292" s="798"/>
      <c r="F292" s="275"/>
    </row>
    <row r="293" spans="1:6" ht="32.25">
      <c r="A293" s="52" t="s">
        <v>1</v>
      </c>
      <c r="B293" s="240" t="s">
        <v>862</v>
      </c>
      <c r="C293" s="273" t="s">
        <v>1217</v>
      </c>
      <c r="D293" s="241">
        <f>3.2*2.6*0.1</f>
        <v>0.8320000000000001</v>
      </c>
      <c r="E293" s="798"/>
      <c r="F293" s="275">
        <f>+D293*E293</f>
        <v>0</v>
      </c>
    </row>
    <row r="294" spans="1:6" ht="32.25">
      <c r="A294" s="52" t="s">
        <v>2</v>
      </c>
      <c r="B294" s="240" t="s">
        <v>863</v>
      </c>
      <c r="C294" s="273" t="s">
        <v>1217</v>
      </c>
      <c r="D294" s="241">
        <f>+(3.2+2.6)*2*0.6*0.15</f>
        <v>1.044</v>
      </c>
      <c r="E294" s="798"/>
      <c r="F294" s="275">
        <f>+D294*E294</f>
        <v>0</v>
      </c>
    </row>
    <row r="295" spans="1:6" ht="32.25">
      <c r="A295" s="52" t="s">
        <v>3</v>
      </c>
      <c r="B295" s="240" t="s">
        <v>864</v>
      </c>
      <c r="C295" s="273" t="s">
        <v>1217</v>
      </c>
      <c r="D295" s="241">
        <f>3.2*2.6*0.15</f>
        <v>1.248</v>
      </c>
      <c r="E295" s="798"/>
      <c r="F295" s="275">
        <f>+D295*E295</f>
        <v>0</v>
      </c>
    </row>
    <row r="296" spans="1:6" ht="47.25">
      <c r="A296" s="52" t="s">
        <v>865</v>
      </c>
      <c r="B296" s="240" t="s">
        <v>866</v>
      </c>
      <c r="C296" s="273" t="s">
        <v>1217</v>
      </c>
      <c r="D296" s="241">
        <f>0.4*0.2*2.6*4</f>
        <v>0.8320000000000002</v>
      </c>
      <c r="E296" s="798"/>
      <c r="F296" s="275">
        <f>+D296*E296</f>
        <v>0</v>
      </c>
    </row>
    <row r="297" spans="1:6" ht="47.25">
      <c r="A297" s="52" t="s">
        <v>867</v>
      </c>
      <c r="B297" s="240" t="s">
        <v>868</v>
      </c>
      <c r="C297" s="273" t="s">
        <v>183</v>
      </c>
      <c r="D297" s="241">
        <f>12*5</f>
        <v>60</v>
      </c>
      <c r="E297" s="798"/>
      <c r="F297" s="275">
        <f>+D297*E297</f>
        <v>0</v>
      </c>
    </row>
    <row r="298" spans="1:6" ht="47.25">
      <c r="A298" s="52" t="s">
        <v>869</v>
      </c>
      <c r="B298" s="240" t="s">
        <v>871</v>
      </c>
      <c r="C298" s="273"/>
      <c r="D298" s="241"/>
      <c r="E298" s="797"/>
      <c r="F298" s="275"/>
    </row>
    <row r="299" spans="1:6" ht="15.75">
      <c r="A299" s="52" t="s">
        <v>1</v>
      </c>
      <c r="B299" s="240" t="s">
        <v>872</v>
      </c>
      <c r="C299" s="273" t="s">
        <v>1217</v>
      </c>
      <c r="D299" s="241">
        <f>1.92+2.64</f>
        <v>4.5600000000000005</v>
      </c>
      <c r="E299" s="798"/>
      <c r="F299" s="275">
        <f aca="true" t="shared" si="5" ref="F299:F304">+D299*E299</f>
        <v>0</v>
      </c>
    </row>
    <row r="300" spans="1:6" ht="17.25">
      <c r="A300" s="52" t="s">
        <v>2</v>
      </c>
      <c r="B300" s="240" t="s">
        <v>873</v>
      </c>
      <c r="C300" s="273" t="s">
        <v>1217</v>
      </c>
      <c r="D300" s="241">
        <f>0.3*0.17*0.5*9*1.1</f>
        <v>0.25245</v>
      </c>
      <c r="E300" s="798"/>
      <c r="F300" s="275">
        <f t="shared" si="5"/>
        <v>0</v>
      </c>
    </row>
    <row r="301" spans="1:6" ht="15.75">
      <c r="A301" s="52" t="s">
        <v>3</v>
      </c>
      <c r="B301" s="240" t="s">
        <v>874</v>
      </c>
      <c r="C301" s="273" t="s">
        <v>1217</v>
      </c>
      <c r="D301" s="241">
        <f>4.5*4.5*0.15</f>
        <v>3.0375</v>
      </c>
      <c r="E301" s="798"/>
      <c r="F301" s="275">
        <f t="shared" si="5"/>
        <v>0</v>
      </c>
    </row>
    <row r="302" spans="1:6" ht="47.25">
      <c r="A302" s="52" t="s">
        <v>870</v>
      </c>
      <c r="B302" s="240" t="s">
        <v>875</v>
      </c>
      <c r="C302" s="273" t="s">
        <v>1217</v>
      </c>
      <c r="D302" s="241">
        <f>1.1*20.5*0.1</f>
        <v>2.2550000000000003</v>
      </c>
      <c r="E302" s="798"/>
      <c r="F302" s="275">
        <f t="shared" si="5"/>
        <v>0</v>
      </c>
    </row>
    <row r="303" spans="1:6" ht="60.75">
      <c r="A303" s="52" t="s">
        <v>876</v>
      </c>
      <c r="B303" s="240" t="s">
        <v>1174</v>
      </c>
      <c r="C303" s="273" t="s">
        <v>1218</v>
      </c>
      <c r="D303" s="241">
        <v>18</v>
      </c>
      <c r="E303" s="798"/>
      <c r="F303" s="275">
        <f t="shared" si="5"/>
        <v>0</v>
      </c>
    </row>
    <row r="304" spans="1:6" ht="95.25" customHeight="1">
      <c r="A304" s="52" t="s">
        <v>877</v>
      </c>
      <c r="B304" s="278" t="s">
        <v>878</v>
      </c>
      <c r="C304" s="310" t="s">
        <v>1072</v>
      </c>
      <c r="D304" s="259">
        <f>0.8*17.85</f>
        <v>14.280000000000001</v>
      </c>
      <c r="E304" s="799"/>
      <c r="F304" s="275">
        <f t="shared" si="5"/>
        <v>0</v>
      </c>
    </row>
    <row r="305" spans="1:6" ht="159.75" customHeight="1">
      <c r="A305" s="277" t="s">
        <v>879</v>
      </c>
      <c r="B305" s="302" t="s">
        <v>1175</v>
      </c>
      <c r="C305" s="310"/>
      <c r="D305" s="259"/>
      <c r="E305" s="800"/>
      <c r="F305" s="279"/>
    </row>
    <row r="306" spans="1:6" ht="15">
      <c r="A306" s="277" t="s">
        <v>1</v>
      </c>
      <c r="B306" s="278" t="s">
        <v>880</v>
      </c>
      <c r="C306" s="310" t="s">
        <v>721</v>
      </c>
      <c r="D306" s="259">
        <v>2000</v>
      </c>
      <c r="E306" s="799"/>
      <c r="F306" s="275">
        <f>+D306*E306</f>
        <v>0</v>
      </c>
    </row>
    <row r="307" spans="1:6" ht="15">
      <c r="A307" s="277" t="s">
        <v>2</v>
      </c>
      <c r="B307" s="278" t="s">
        <v>881</v>
      </c>
      <c r="C307" s="310" t="s">
        <v>721</v>
      </c>
      <c r="D307" s="259">
        <v>2300</v>
      </c>
      <c r="E307" s="799"/>
      <c r="F307" s="275">
        <f>+D307*E307</f>
        <v>0</v>
      </c>
    </row>
    <row r="308" spans="1:6" ht="15">
      <c r="A308" s="277" t="s">
        <v>3</v>
      </c>
      <c r="B308" s="278" t="s">
        <v>882</v>
      </c>
      <c r="C308" s="310" t="s">
        <v>721</v>
      </c>
      <c r="D308" s="259">
        <v>3100</v>
      </c>
      <c r="E308" s="799"/>
      <c r="F308" s="275">
        <f>+D308*E308</f>
        <v>0</v>
      </c>
    </row>
    <row r="309" spans="1:6" ht="15">
      <c r="A309" s="171"/>
      <c r="B309" s="3"/>
      <c r="C309" s="274"/>
      <c r="D309" s="243"/>
      <c r="E309" s="801"/>
      <c r="F309" s="276"/>
    </row>
    <row r="310" spans="1:6" ht="15">
      <c r="A310" s="173"/>
      <c r="B310" s="186" t="s">
        <v>368</v>
      </c>
      <c r="C310" s="369"/>
      <c r="D310" s="175"/>
      <c r="E310" s="795"/>
      <c r="F310" s="187">
        <f>SUM(F207:F309)</f>
        <v>0</v>
      </c>
    </row>
    <row r="313" spans="1:6" ht="15.75">
      <c r="A313" s="404" t="s">
        <v>114</v>
      </c>
      <c r="B313" s="188" t="s">
        <v>256</v>
      </c>
      <c r="C313" s="369"/>
      <c r="D313" s="192"/>
      <c r="E313" s="795"/>
      <c r="F313" s="187"/>
    </row>
    <row r="314" spans="1:6" ht="15">
      <c r="A314" s="52"/>
      <c r="B314" s="193" t="s">
        <v>302</v>
      </c>
      <c r="C314" s="273"/>
      <c r="D314" s="194"/>
      <c r="E314" s="802"/>
      <c r="F314" s="196"/>
    </row>
    <row r="315" spans="1:6" ht="33.75">
      <c r="A315" s="52" t="s">
        <v>25</v>
      </c>
      <c r="B315" s="37" t="s">
        <v>371</v>
      </c>
      <c r="C315" s="273"/>
      <c r="D315" s="194"/>
      <c r="E315" s="802"/>
      <c r="F315" s="196"/>
    </row>
    <row r="316" spans="1:6" ht="22.5">
      <c r="A316" s="52" t="s">
        <v>26</v>
      </c>
      <c r="B316" s="37" t="s">
        <v>372</v>
      </c>
      <c r="C316" s="273"/>
      <c r="D316" s="194"/>
      <c r="E316" s="802"/>
      <c r="F316" s="196"/>
    </row>
    <row r="317" spans="1:6" ht="22.5">
      <c r="A317" s="52" t="s">
        <v>27</v>
      </c>
      <c r="B317" s="37" t="s">
        <v>373</v>
      </c>
      <c r="C317" s="273"/>
      <c r="D317" s="194"/>
      <c r="E317" s="802"/>
      <c r="F317" s="196"/>
    </row>
    <row r="318" spans="1:6" ht="22.5">
      <c r="A318" s="52" t="s">
        <v>28</v>
      </c>
      <c r="B318" s="37" t="s">
        <v>374</v>
      </c>
      <c r="C318" s="273"/>
      <c r="D318" s="194"/>
      <c r="E318" s="802"/>
      <c r="F318" s="196"/>
    </row>
    <row r="319" spans="1:6" ht="15">
      <c r="A319" s="52"/>
      <c r="B319" s="37" t="s">
        <v>375</v>
      </c>
      <c r="C319" s="273"/>
      <c r="D319" s="194"/>
      <c r="E319" s="802"/>
      <c r="F319" s="196"/>
    </row>
    <row r="320" spans="1:6" ht="15">
      <c r="A320" s="52"/>
      <c r="B320" s="37" t="s">
        <v>376</v>
      </c>
      <c r="C320" s="273"/>
      <c r="D320" s="194"/>
      <c r="E320" s="802"/>
      <c r="F320" s="196"/>
    </row>
    <row r="321" spans="1:6" ht="24">
      <c r="A321" s="52"/>
      <c r="B321" s="37" t="s">
        <v>1176</v>
      </c>
      <c r="C321" s="273"/>
      <c r="D321" s="194"/>
      <c r="E321" s="802"/>
      <c r="F321" s="196"/>
    </row>
    <row r="322" spans="1:6" ht="15">
      <c r="A322" s="52"/>
      <c r="B322" s="37" t="s">
        <v>377</v>
      </c>
      <c r="C322" s="273"/>
      <c r="D322" s="194"/>
      <c r="E322" s="802"/>
      <c r="F322" s="196"/>
    </row>
    <row r="323" spans="1:6" ht="22.5">
      <c r="A323" s="52" t="s">
        <v>29</v>
      </c>
      <c r="B323" s="37" t="s">
        <v>1177</v>
      </c>
      <c r="C323" s="273"/>
      <c r="D323" s="194"/>
      <c r="E323" s="802"/>
      <c r="F323" s="196"/>
    </row>
    <row r="324" spans="1:6" ht="45">
      <c r="A324" s="52"/>
      <c r="B324" s="37" t="s">
        <v>378</v>
      </c>
      <c r="C324" s="273"/>
      <c r="D324" s="194"/>
      <c r="E324" s="802"/>
      <c r="F324" s="196"/>
    </row>
    <row r="325" spans="1:6" ht="15">
      <c r="A325" s="52"/>
      <c r="B325" s="37" t="s">
        <v>379</v>
      </c>
      <c r="C325" s="273"/>
      <c r="D325" s="194"/>
      <c r="E325" s="802"/>
      <c r="F325" s="196"/>
    </row>
    <row r="326" spans="1:6" ht="15">
      <c r="A326" s="52"/>
      <c r="B326" s="37" t="s">
        <v>380</v>
      </c>
      <c r="C326" s="273"/>
      <c r="D326" s="194"/>
      <c r="E326" s="802"/>
      <c r="F326" s="196"/>
    </row>
    <row r="327" spans="1:6" ht="22.5">
      <c r="A327" s="52"/>
      <c r="B327" s="37" t="s">
        <v>381</v>
      </c>
      <c r="C327" s="273"/>
      <c r="D327" s="194"/>
      <c r="E327" s="802"/>
      <c r="F327" s="196"/>
    </row>
    <row r="328" spans="1:6" ht="45">
      <c r="A328" s="52"/>
      <c r="B328" s="37" t="s">
        <v>382</v>
      </c>
      <c r="C328" s="273"/>
      <c r="D328" s="194"/>
      <c r="E328" s="802"/>
      <c r="F328" s="196"/>
    </row>
    <row r="329" spans="1:6" ht="15">
      <c r="A329" s="52" t="s">
        <v>32</v>
      </c>
      <c r="B329" s="59" t="s">
        <v>383</v>
      </c>
      <c r="C329" s="273"/>
      <c r="D329" s="194"/>
      <c r="E329" s="802"/>
      <c r="F329" s="196"/>
    </row>
    <row r="330" spans="1:6" ht="22.5">
      <c r="A330" s="52" t="s">
        <v>33</v>
      </c>
      <c r="B330" s="58" t="s">
        <v>384</v>
      </c>
      <c r="C330" s="273"/>
      <c r="D330" s="194"/>
      <c r="E330" s="802"/>
      <c r="F330" s="196"/>
    </row>
    <row r="331" spans="1:6" ht="22.5">
      <c r="A331" s="52"/>
      <c r="B331" s="58" t="s">
        <v>385</v>
      </c>
      <c r="C331" s="273"/>
      <c r="D331" s="194"/>
      <c r="E331" s="802"/>
      <c r="F331" s="196"/>
    </row>
    <row r="332" spans="1:6" ht="15">
      <c r="A332" s="52"/>
      <c r="B332" s="58" t="s">
        <v>386</v>
      </c>
      <c r="C332" s="273"/>
      <c r="D332" s="194"/>
      <c r="E332" s="802"/>
      <c r="F332" s="196"/>
    </row>
    <row r="333" spans="1:6" ht="22.5">
      <c r="A333" s="52" t="s">
        <v>41</v>
      </c>
      <c r="B333" s="58" t="s">
        <v>387</v>
      </c>
      <c r="C333" s="273"/>
      <c r="D333" s="194"/>
      <c r="E333" s="802"/>
      <c r="F333" s="196"/>
    </row>
    <row r="334" spans="1:6" ht="15">
      <c r="A334" s="52" t="s">
        <v>44</v>
      </c>
      <c r="B334" s="233" t="s">
        <v>388</v>
      </c>
      <c r="C334" s="273"/>
      <c r="D334" s="194"/>
      <c r="E334" s="802"/>
      <c r="F334" s="196"/>
    </row>
    <row r="335" spans="1:6" ht="22.5">
      <c r="A335" s="52"/>
      <c r="B335" s="58" t="s">
        <v>389</v>
      </c>
      <c r="C335" s="273"/>
      <c r="D335" s="194"/>
      <c r="E335" s="802"/>
      <c r="F335" s="196"/>
    </row>
    <row r="336" spans="1:6" ht="22.5">
      <c r="A336" s="52"/>
      <c r="B336" s="58" t="s">
        <v>390</v>
      </c>
      <c r="C336" s="273"/>
      <c r="D336" s="194"/>
      <c r="E336" s="802"/>
      <c r="F336" s="196"/>
    </row>
    <row r="337" spans="1:6" ht="22.5">
      <c r="A337" s="52"/>
      <c r="B337" s="58" t="s">
        <v>391</v>
      </c>
      <c r="C337" s="273"/>
      <c r="D337" s="194"/>
      <c r="E337" s="802"/>
      <c r="F337" s="196"/>
    </row>
    <row r="338" spans="1:6" ht="22.5">
      <c r="A338" s="52"/>
      <c r="B338" s="58" t="s">
        <v>392</v>
      </c>
      <c r="C338" s="273"/>
      <c r="D338" s="194"/>
      <c r="E338" s="802"/>
      <c r="F338" s="196"/>
    </row>
    <row r="339" spans="1:6" ht="33.75">
      <c r="A339" s="52"/>
      <c r="B339" s="58" t="s">
        <v>341</v>
      </c>
      <c r="C339" s="273"/>
      <c r="D339" s="194"/>
      <c r="E339" s="802"/>
      <c r="F339" s="196"/>
    </row>
    <row r="340" spans="1:6" ht="22.5">
      <c r="A340" s="52"/>
      <c r="B340" s="58" t="s">
        <v>393</v>
      </c>
      <c r="C340" s="273"/>
      <c r="D340" s="194"/>
      <c r="E340" s="802"/>
      <c r="F340" s="196"/>
    </row>
    <row r="341" spans="1:6" ht="22.5">
      <c r="A341" s="52"/>
      <c r="B341" s="58" t="s">
        <v>394</v>
      </c>
      <c r="C341" s="273"/>
      <c r="D341" s="194"/>
      <c r="E341" s="802"/>
      <c r="F341" s="196"/>
    </row>
    <row r="342" spans="1:6" ht="33.75">
      <c r="A342" s="261" t="s">
        <v>278</v>
      </c>
      <c r="B342" s="58" t="s">
        <v>341</v>
      </c>
      <c r="C342" s="273"/>
      <c r="D342" s="194"/>
      <c r="E342" s="802"/>
      <c r="F342" s="196"/>
    </row>
    <row r="343" spans="1:6" ht="297.75" customHeight="1">
      <c r="A343" s="52" t="s">
        <v>343</v>
      </c>
      <c r="B343" s="60" t="s">
        <v>1178</v>
      </c>
      <c r="C343" s="297"/>
      <c r="D343" s="197"/>
      <c r="E343" s="802"/>
      <c r="F343" s="198"/>
    </row>
    <row r="344" spans="1:6" ht="22.5">
      <c r="A344" s="261" t="s">
        <v>366</v>
      </c>
      <c r="B344" s="38" t="s">
        <v>43</v>
      </c>
      <c r="C344" s="297"/>
      <c r="D344" s="197"/>
      <c r="E344" s="802"/>
      <c r="F344" s="198"/>
    </row>
    <row r="345" spans="1:6" ht="15">
      <c r="A345" s="52"/>
      <c r="B345" s="240"/>
      <c r="C345" s="273"/>
      <c r="D345" s="241"/>
      <c r="E345" s="797"/>
      <c r="F345" s="275"/>
    </row>
    <row r="346" spans="1:6" ht="90.75">
      <c r="A346" s="52" t="s">
        <v>883</v>
      </c>
      <c r="B346" s="240" t="s">
        <v>1220</v>
      </c>
      <c r="C346" s="273" t="s">
        <v>1072</v>
      </c>
      <c r="D346" s="241">
        <f>14.56+9.59</f>
        <v>24.15</v>
      </c>
      <c r="E346" s="798"/>
      <c r="F346" s="275">
        <f aca="true" t="shared" si="6" ref="F346:F357">+D346*E346</f>
        <v>0</v>
      </c>
    </row>
    <row r="347" spans="1:6" ht="75.75">
      <c r="A347" s="52" t="s">
        <v>884</v>
      </c>
      <c r="B347" s="240" t="s">
        <v>1317</v>
      </c>
      <c r="C347" s="273" t="s">
        <v>1072</v>
      </c>
      <c r="D347" s="241">
        <f>1.68+181.69+152.34+9.34</f>
        <v>345.05</v>
      </c>
      <c r="E347" s="798"/>
      <c r="F347" s="275">
        <f t="shared" si="6"/>
        <v>0</v>
      </c>
    </row>
    <row r="348" spans="1:6" ht="60">
      <c r="A348" s="52" t="s">
        <v>900</v>
      </c>
      <c r="B348" s="240" t="s">
        <v>901</v>
      </c>
      <c r="C348" s="273" t="s">
        <v>1072</v>
      </c>
      <c r="D348" s="241">
        <f>+(4.5*2+0.2+2.62*2+0.2+2.78*2+0.2+2.22*2+0.2)*0.8</f>
        <v>20.032</v>
      </c>
      <c r="E348" s="798"/>
      <c r="F348" s="275">
        <f t="shared" si="6"/>
        <v>0</v>
      </c>
    </row>
    <row r="349" spans="1:6" ht="30">
      <c r="A349" s="52" t="s">
        <v>902</v>
      </c>
      <c r="B349" s="240" t="s">
        <v>903</v>
      </c>
      <c r="C349" s="273" t="s">
        <v>1072</v>
      </c>
      <c r="D349" s="241">
        <f>+(4.5*2+0.2+2.62*2+0.2+2.78*2+0.2+2.22*2+0.2)*3.5</f>
        <v>87.64</v>
      </c>
      <c r="E349" s="798"/>
      <c r="F349" s="275">
        <f t="shared" si="6"/>
        <v>0</v>
      </c>
    </row>
    <row r="350" spans="1:6" ht="33">
      <c r="A350" s="52" t="s">
        <v>885</v>
      </c>
      <c r="B350" s="240" t="s">
        <v>890</v>
      </c>
      <c r="C350" s="273" t="s">
        <v>1072</v>
      </c>
      <c r="D350" s="241">
        <f>3.5*1.65</f>
        <v>5.7749999999999995</v>
      </c>
      <c r="E350" s="798"/>
      <c r="F350" s="275">
        <f t="shared" si="6"/>
        <v>0</v>
      </c>
    </row>
    <row r="351" spans="1:6" ht="15.75">
      <c r="A351" s="52" t="s">
        <v>886</v>
      </c>
      <c r="B351" s="240" t="s">
        <v>891</v>
      </c>
      <c r="C351" s="273" t="s">
        <v>1072</v>
      </c>
      <c r="D351" s="241">
        <f>+(3.5+2.05)*2*0.2</f>
        <v>2.22</v>
      </c>
      <c r="E351" s="798"/>
      <c r="F351" s="275">
        <f t="shared" si="6"/>
        <v>0</v>
      </c>
    </row>
    <row r="352" spans="1:6" ht="15.75">
      <c r="A352" s="52" t="s">
        <v>887</v>
      </c>
      <c r="B352" s="240" t="s">
        <v>892</v>
      </c>
      <c r="C352" s="273" t="s">
        <v>1217</v>
      </c>
      <c r="D352" s="241">
        <f>1.65*2.71*18.57</f>
        <v>83.035755</v>
      </c>
      <c r="E352" s="798"/>
      <c r="F352" s="275">
        <f t="shared" si="6"/>
        <v>0</v>
      </c>
    </row>
    <row r="353" spans="1:6" ht="30">
      <c r="A353" s="52" t="s">
        <v>888</v>
      </c>
      <c r="B353" s="240" t="s">
        <v>893</v>
      </c>
      <c r="C353" s="273" t="s">
        <v>1072</v>
      </c>
      <c r="D353" s="241">
        <f>+((2.6+3.2)*2+(2.4+3)*2)*0.5</f>
        <v>11.200000000000001</v>
      </c>
      <c r="E353" s="798"/>
      <c r="F353" s="275">
        <f t="shared" si="6"/>
        <v>0</v>
      </c>
    </row>
    <row r="354" spans="1:6" ht="15.75">
      <c r="A354" s="52" t="s">
        <v>889</v>
      </c>
      <c r="B354" s="240" t="s">
        <v>894</v>
      </c>
      <c r="C354" s="273" t="s">
        <v>1072</v>
      </c>
      <c r="D354" s="241">
        <f>+(3.5*2+2.6)*0.2</f>
        <v>1.92</v>
      </c>
      <c r="E354" s="798"/>
      <c r="F354" s="275">
        <f t="shared" si="6"/>
        <v>0</v>
      </c>
    </row>
    <row r="355" spans="1:6" ht="120.75">
      <c r="A355" s="52" t="s">
        <v>895</v>
      </c>
      <c r="B355" s="302" t="s">
        <v>1221</v>
      </c>
      <c r="C355" s="273" t="s">
        <v>1072</v>
      </c>
      <c r="D355" s="241">
        <f>+(25.5*2+12.5)*15.65</f>
        <v>993.775</v>
      </c>
      <c r="E355" s="798"/>
      <c r="F355" s="275">
        <f t="shared" si="6"/>
        <v>0</v>
      </c>
    </row>
    <row r="356" spans="1:6" ht="90">
      <c r="A356" s="52" t="s">
        <v>896</v>
      </c>
      <c r="B356" s="302" t="s">
        <v>1179</v>
      </c>
      <c r="C356" s="273" t="s">
        <v>1072</v>
      </c>
      <c r="D356" s="241">
        <v>1129.85</v>
      </c>
      <c r="E356" s="798"/>
      <c r="F356" s="275">
        <f t="shared" si="6"/>
        <v>0</v>
      </c>
    </row>
    <row r="357" spans="1:6" ht="45">
      <c r="A357" s="52" t="s">
        <v>897</v>
      </c>
      <c r="B357" s="240" t="s">
        <v>1070</v>
      </c>
      <c r="C357" s="273" t="s">
        <v>1072</v>
      </c>
      <c r="D357" s="241">
        <f>+(0.4+0.2)*2*2.6*4</f>
        <v>12.480000000000002</v>
      </c>
      <c r="E357" s="798"/>
      <c r="F357" s="275">
        <f t="shared" si="6"/>
        <v>0</v>
      </c>
    </row>
    <row r="358" spans="1:6" ht="30">
      <c r="A358" s="52" t="s">
        <v>898</v>
      </c>
      <c r="B358" s="240" t="s">
        <v>1222</v>
      </c>
      <c r="C358" s="273"/>
      <c r="D358" s="241"/>
      <c r="E358" s="797"/>
      <c r="F358" s="275"/>
    </row>
    <row r="359" spans="1:6" ht="15.75">
      <c r="A359" s="52" t="s">
        <v>1</v>
      </c>
      <c r="B359" s="240" t="s">
        <v>899</v>
      </c>
      <c r="C359" s="273" t="s">
        <v>1072</v>
      </c>
      <c r="D359" s="241">
        <v>8.51</v>
      </c>
      <c r="E359" s="798"/>
      <c r="F359" s="275">
        <f>+D359*E359</f>
        <v>0</v>
      </c>
    </row>
    <row r="360" spans="1:6" ht="15.75">
      <c r="A360" s="52" t="s">
        <v>2</v>
      </c>
      <c r="B360" s="240" t="s">
        <v>904</v>
      </c>
      <c r="C360" s="273" t="s">
        <v>1072</v>
      </c>
      <c r="D360" s="241">
        <f>12*2*0.3*0.175*0.5*2</f>
        <v>1.2599999999999998</v>
      </c>
      <c r="E360" s="798"/>
      <c r="F360" s="275">
        <f>+D360*E360</f>
        <v>0</v>
      </c>
    </row>
    <row r="361" spans="1:6" ht="15">
      <c r="A361" s="171"/>
      <c r="B361" s="3"/>
      <c r="C361" s="274"/>
      <c r="D361" s="243"/>
      <c r="E361" s="801"/>
      <c r="F361" s="276"/>
    </row>
    <row r="362" spans="1:6" ht="15">
      <c r="A362" s="173"/>
      <c r="B362" s="186" t="s">
        <v>396</v>
      </c>
      <c r="C362" s="369"/>
      <c r="D362" s="175"/>
      <c r="E362" s="795"/>
      <c r="F362" s="187">
        <f>SUM(F314:F361)</f>
        <v>0</v>
      </c>
    </row>
    <row r="365" spans="1:6" ht="15.75">
      <c r="A365" s="208" t="s">
        <v>261</v>
      </c>
      <c r="B365" s="6" t="s">
        <v>22</v>
      </c>
      <c r="C365" s="367"/>
      <c r="D365" s="152"/>
      <c r="E365" s="803"/>
      <c r="F365" s="153"/>
    </row>
    <row r="366" spans="1:6" ht="15">
      <c r="A366" s="328"/>
      <c r="B366" s="36" t="s">
        <v>30</v>
      </c>
      <c r="C366" s="294"/>
      <c r="D366" s="41"/>
      <c r="E366" s="784"/>
      <c r="F366" s="154"/>
    </row>
    <row r="367" spans="1:6" ht="15">
      <c r="A367" s="52" t="s">
        <v>25</v>
      </c>
      <c r="B367" s="37" t="s">
        <v>31</v>
      </c>
      <c r="C367" s="294"/>
      <c r="D367" s="41"/>
      <c r="E367" s="784"/>
      <c r="F367" s="154"/>
    </row>
    <row r="368" spans="1:6" ht="22.5">
      <c r="A368" s="52" t="s">
        <v>26</v>
      </c>
      <c r="B368" s="37" t="s">
        <v>151</v>
      </c>
      <c r="C368" s="294"/>
      <c r="D368" s="41"/>
      <c r="E368" s="784"/>
      <c r="F368" s="154"/>
    </row>
    <row r="369" spans="1:6" ht="45">
      <c r="A369" s="52" t="s">
        <v>27</v>
      </c>
      <c r="B369" s="37" t="s">
        <v>67</v>
      </c>
      <c r="C369" s="294"/>
      <c r="D369" s="41"/>
      <c r="E369" s="784"/>
      <c r="F369" s="154"/>
    </row>
    <row r="370" spans="1:6" ht="22.5">
      <c r="A370" s="52" t="s">
        <v>28</v>
      </c>
      <c r="B370" s="37" t="s">
        <v>54</v>
      </c>
      <c r="C370" s="294"/>
      <c r="D370" s="41"/>
      <c r="E370" s="784"/>
      <c r="F370" s="154"/>
    </row>
    <row r="371" spans="1:6" ht="78.75">
      <c r="A371" s="52" t="s">
        <v>29</v>
      </c>
      <c r="B371" s="58" t="s">
        <v>142</v>
      </c>
      <c r="C371" s="294"/>
      <c r="D371" s="41"/>
      <c r="E371" s="784"/>
      <c r="F371" s="154"/>
    </row>
    <row r="372" spans="1:6" ht="22.5">
      <c r="A372" s="52" t="s">
        <v>32</v>
      </c>
      <c r="B372" s="37" t="s">
        <v>68</v>
      </c>
      <c r="C372" s="294"/>
      <c r="D372" s="41"/>
      <c r="E372" s="784"/>
      <c r="F372" s="154"/>
    </row>
    <row r="373" spans="1:6" ht="15">
      <c r="A373" s="52" t="s">
        <v>1</v>
      </c>
      <c r="B373" s="37" t="s">
        <v>69</v>
      </c>
      <c r="C373" s="294"/>
      <c r="D373" s="41"/>
      <c r="E373" s="784"/>
      <c r="F373" s="154"/>
    </row>
    <row r="374" spans="1:6" ht="22.5">
      <c r="A374" s="52" t="s">
        <v>2</v>
      </c>
      <c r="B374" s="37" t="s">
        <v>70</v>
      </c>
      <c r="C374" s="294"/>
      <c r="D374" s="41"/>
      <c r="E374" s="784"/>
      <c r="F374" s="154"/>
    </row>
    <row r="375" spans="1:6" ht="15">
      <c r="A375" s="52" t="s">
        <v>3</v>
      </c>
      <c r="B375" s="37" t="s">
        <v>71</v>
      </c>
      <c r="C375" s="294"/>
      <c r="D375" s="41"/>
      <c r="E375" s="784"/>
      <c r="F375" s="154"/>
    </row>
    <row r="376" spans="1:6" ht="15">
      <c r="A376" s="52" t="s">
        <v>4</v>
      </c>
      <c r="B376" s="37" t="s">
        <v>72</v>
      </c>
      <c r="C376" s="294"/>
      <c r="D376" s="41"/>
      <c r="E376" s="784"/>
      <c r="F376" s="154"/>
    </row>
    <row r="377" spans="1:6" ht="15">
      <c r="A377" s="52" t="s">
        <v>5</v>
      </c>
      <c r="B377" s="37" t="s">
        <v>73</v>
      </c>
      <c r="C377" s="294"/>
      <c r="D377" s="41"/>
      <c r="E377" s="784"/>
      <c r="F377" s="154"/>
    </row>
    <row r="378" spans="1:6" ht="112.5">
      <c r="A378" s="52" t="s">
        <v>33</v>
      </c>
      <c r="B378" s="59" t="s">
        <v>143</v>
      </c>
      <c r="C378" s="294"/>
      <c r="D378" s="41"/>
      <c r="E378" s="784"/>
      <c r="F378" s="154"/>
    </row>
    <row r="379" spans="1:6" ht="15">
      <c r="A379" s="52" t="s">
        <v>41</v>
      </c>
      <c r="B379" s="60" t="s">
        <v>37</v>
      </c>
      <c r="C379" s="294"/>
      <c r="D379" s="41"/>
      <c r="E379" s="784"/>
      <c r="F379" s="154"/>
    </row>
    <row r="380" spans="1:6" ht="22.5">
      <c r="A380" s="52"/>
      <c r="B380" s="38" t="s">
        <v>38</v>
      </c>
      <c r="C380" s="294"/>
      <c r="D380" s="41"/>
      <c r="E380" s="784"/>
      <c r="F380" s="154"/>
    </row>
    <row r="381" spans="1:6" ht="22.5">
      <c r="A381" s="52"/>
      <c r="B381" s="38" t="s">
        <v>39</v>
      </c>
      <c r="C381" s="294"/>
      <c r="D381" s="41"/>
      <c r="E381" s="784"/>
      <c r="F381" s="154"/>
    </row>
    <row r="382" spans="1:6" ht="101.25">
      <c r="A382" s="52"/>
      <c r="B382" s="38" t="s">
        <v>40</v>
      </c>
      <c r="C382" s="294"/>
      <c r="D382" s="41"/>
      <c r="E382" s="784"/>
      <c r="F382" s="154"/>
    </row>
    <row r="383" spans="1:6" ht="15">
      <c r="A383" s="52" t="s">
        <v>44</v>
      </c>
      <c r="B383" s="60" t="s">
        <v>42</v>
      </c>
      <c r="C383" s="294"/>
      <c r="D383" s="41"/>
      <c r="E383" s="784"/>
      <c r="F383" s="154"/>
    </row>
    <row r="384" spans="1:6" ht="90">
      <c r="A384" s="52"/>
      <c r="B384" s="38" t="s">
        <v>48</v>
      </c>
      <c r="C384" s="294"/>
      <c r="D384" s="41"/>
      <c r="E384" s="784"/>
      <c r="F384" s="154"/>
    </row>
    <row r="385" spans="1:7" ht="22.5">
      <c r="A385" s="52" t="s">
        <v>278</v>
      </c>
      <c r="B385" s="38" t="s">
        <v>43</v>
      </c>
      <c r="C385" s="294"/>
      <c r="D385" s="41"/>
      <c r="E385" s="784"/>
      <c r="F385" s="154"/>
      <c r="G385" s="234"/>
    </row>
    <row r="386" spans="1:6" ht="308.25" customHeight="1">
      <c r="A386" s="52" t="s">
        <v>343</v>
      </c>
      <c r="B386" s="60" t="s">
        <v>141</v>
      </c>
      <c r="C386" s="294"/>
      <c r="D386" s="41"/>
      <c r="E386" s="784"/>
      <c r="F386" s="154"/>
    </row>
    <row r="387" spans="1:6" ht="15">
      <c r="A387" s="280"/>
      <c r="B387" s="281"/>
      <c r="C387" s="294"/>
      <c r="D387" s="282"/>
      <c r="E387" s="804"/>
      <c r="F387" s="283"/>
    </row>
    <row r="388" spans="1:6" ht="140.25" customHeight="1">
      <c r="A388" s="280" t="s">
        <v>905</v>
      </c>
      <c r="B388" s="281" t="s">
        <v>1180</v>
      </c>
      <c r="C388" s="273" t="s">
        <v>1072</v>
      </c>
      <c r="D388" s="282">
        <v>225.6</v>
      </c>
      <c r="E388" s="805"/>
      <c r="F388" s="258">
        <f aca="true" t="shared" si="7" ref="F388:F396">+D388*E388</f>
        <v>0</v>
      </c>
    </row>
    <row r="389" spans="1:6" ht="171" customHeight="1">
      <c r="A389" s="280" t="s">
        <v>906</v>
      </c>
      <c r="B389" s="257" t="s">
        <v>933</v>
      </c>
      <c r="C389" s="273" t="s">
        <v>1072</v>
      </c>
      <c r="D389" s="241">
        <f>+(20.35+11.78*0.5+1.5)*3.2</f>
        <v>88.76800000000001</v>
      </c>
      <c r="E389" s="798"/>
      <c r="F389" s="258">
        <f t="shared" si="7"/>
        <v>0</v>
      </c>
    </row>
    <row r="390" spans="1:6" ht="111" customHeight="1">
      <c r="A390" s="280" t="s">
        <v>907</v>
      </c>
      <c r="B390" s="416" t="s">
        <v>1320</v>
      </c>
      <c r="C390" s="273" t="s">
        <v>1072</v>
      </c>
      <c r="D390" s="241">
        <f>2.6*3.2</f>
        <v>8.32</v>
      </c>
      <c r="E390" s="798"/>
      <c r="F390" s="258">
        <f t="shared" si="7"/>
        <v>0</v>
      </c>
    </row>
    <row r="391" spans="1:6" ht="111" customHeight="1">
      <c r="A391" s="280" t="s">
        <v>932</v>
      </c>
      <c r="B391" s="257" t="s">
        <v>1181</v>
      </c>
      <c r="C391" s="273" t="s">
        <v>1072</v>
      </c>
      <c r="D391" s="241">
        <f>+(8.18+9.94)*2</f>
        <v>36.239999999999995</v>
      </c>
      <c r="E391" s="798"/>
      <c r="F391" s="258">
        <f t="shared" si="7"/>
        <v>0</v>
      </c>
    </row>
    <row r="392" spans="1:6" ht="45.75">
      <c r="A392" s="280" t="s">
        <v>908</v>
      </c>
      <c r="B392" s="257" t="s">
        <v>1182</v>
      </c>
      <c r="C392" s="273" t="s">
        <v>1217</v>
      </c>
      <c r="D392" s="241">
        <f>11.9+4.44+7.47+7.47+7.47+5.82</f>
        <v>44.57</v>
      </c>
      <c r="E392" s="798"/>
      <c r="F392" s="258">
        <f t="shared" si="7"/>
        <v>0</v>
      </c>
    </row>
    <row r="393" spans="1:6" ht="50.25" customHeight="1">
      <c r="A393" s="280" t="s">
        <v>909</v>
      </c>
      <c r="B393" s="257" t="s">
        <v>1183</v>
      </c>
      <c r="C393" s="273" t="s">
        <v>1217</v>
      </c>
      <c r="D393" s="241">
        <v>8.51</v>
      </c>
      <c r="E393" s="798"/>
      <c r="F393" s="258">
        <f t="shared" si="7"/>
        <v>0</v>
      </c>
    </row>
    <row r="394" spans="1:6" ht="60.75">
      <c r="A394" s="280" t="s">
        <v>910</v>
      </c>
      <c r="B394" s="284" t="s">
        <v>1184</v>
      </c>
      <c r="C394" s="273" t="s">
        <v>1072</v>
      </c>
      <c r="D394" s="259">
        <f>+(2.74+1.65)*2*18.57</f>
        <v>163.04460000000003</v>
      </c>
      <c r="E394" s="799"/>
      <c r="F394" s="258">
        <f t="shared" si="7"/>
        <v>0</v>
      </c>
    </row>
    <row r="395" spans="1:6" ht="47.25" customHeight="1">
      <c r="A395" s="280" t="s">
        <v>911</v>
      </c>
      <c r="B395" s="284" t="s">
        <v>1185</v>
      </c>
      <c r="C395" s="273" t="s">
        <v>1072</v>
      </c>
      <c r="D395" s="259">
        <f>+((1.29*3+2.58*2)*2.7-0.9*2*3)</f>
        <v>18.981</v>
      </c>
      <c r="E395" s="799"/>
      <c r="F395" s="258">
        <f t="shared" si="7"/>
        <v>0</v>
      </c>
    </row>
    <row r="396" spans="1:6" ht="15.75">
      <c r="A396" s="52" t="s">
        <v>912</v>
      </c>
      <c r="B396" s="284" t="s">
        <v>913</v>
      </c>
      <c r="C396" s="273" t="s">
        <v>1072</v>
      </c>
      <c r="D396" s="259">
        <v>96.06</v>
      </c>
      <c r="E396" s="799"/>
      <c r="F396" s="258">
        <f t="shared" si="7"/>
        <v>0</v>
      </c>
    </row>
    <row r="397" spans="1:6" ht="62.25">
      <c r="A397" s="52" t="s">
        <v>914</v>
      </c>
      <c r="B397" s="284" t="s">
        <v>915</v>
      </c>
      <c r="C397" s="370"/>
      <c r="D397" s="259"/>
      <c r="E397" s="800"/>
      <c r="F397" s="242"/>
    </row>
    <row r="398" spans="1:6" ht="15.75">
      <c r="A398" s="52" t="s">
        <v>1</v>
      </c>
      <c r="B398" s="284" t="s">
        <v>916</v>
      </c>
      <c r="C398" s="273" t="s">
        <v>1072</v>
      </c>
      <c r="D398" s="259">
        <f>+(1.29*3+2.58+1.74+4.25)*2.7</f>
        <v>33.588</v>
      </c>
      <c r="E398" s="799"/>
      <c r="F398" s="258">
        <f>+D398*E398</f>
        <v>0</v>
      </c>
    </row>
    <row r="399" spans="1:6" ht="15.75">
      <c r="A399" s="52" t="s">
        <v>2</v>
      </c>
      <c r="B399" s="284" t="s">
        <v>917</v>
      </c>
      <c r="C399" s="273" t="s">
        <v>1072</v>
      </c>
      <c r="D399" s="259">
        <f>+(2.02+2.53+4.3)*2.7</f>
        <v>23.895</v>
      </c>
      <c r="E399" s="799"/>
      <c r="F399" s="258">
        <f>+D399*E399</f>
        <v>0</v>
      </c>
    </row>
    <row r="400" spans="1:6" ht="21" customHeight="1">
      <c r="A400" s="52" t="s">
        <v>3</v>
      </c>
      <c r="B400" s="61" t="s">
        <v>918</v>
      </c>
      <c r="C400" s="273" t="s">
        <v>1072</v>
      </c>
      <c r="D400" s="259">
        <f>+(3.33+3.33+3.33+7.06+7.75+9.86)</f>
        <v>34.66</v>
      </c>
      <c r="E400" s="799"/>
      <c r="F400" s="258">
        <f>+D400*E400</f>
        <v>0</v>
      </c>
    </row>
    <row r="401" spans="1:6" ht="75">
      <c r="A401" s="52" t="s">
        <v>919</v>
      </c>
      <c r="B401" s="284" t="s">
        <v>920</v>
      </c>
      <c r="C401" s="273" t="s">
        <v>1072</v>
      </c>
      <c r="D401" s="259">
        <f>267.38+390.31+390.31+428.11+428.11+337.17</f>
        <v>2241.3900000000003</v>
      </c>
      <c r="E401" s="799"/>
      <c r="F401" s="258">
        <f>+D401*E401</f>
        <v>0</v>
      </c>
    </row>
    <row r="402" spans="1:6" ht="30">
      <c r="A402" s="52" t="s">
        <v>921</v>
      </c>
      <c r="B402" s="284" t="s">
        <v>922</v>
      </c>
      <c r="C402" s="310" t="s">
        <v>1218</v>
      </c>
      <c r="D402" s="259">
        <f>9.45+9+9+9+9+5.4</f>
        <v>50.85</v>
      </c>
      <c r="E402" s="799"/>
      <c r="F402" s="258">
        <f>+D402*E402</f>
        <v>0</v>
      </c>
    </row>
    <row r="403" spans="1:6" ht="30">
      <c r="A403" s="52" t="s">
        <v>923</v>
      </c>
      <c r="B403" s="284" t="s">
        <v>1333</v>
      </c>
      <c r="C403" s="310"/>
      <c r="D403" s="259"/>
      <c r="E403" s="800"/>
      <c r="F403" s="242"/>
    </row>
    <row r="404" spans="1:6" ht="15.75">
      <c r="A404" s="52" t="s">
        <v>1</v>
      </c>
      <c r="B404" s="284" t="s">
        <v>924</v>
      </c>
      <c r="C404" s="310" t="s">
        <v>1218</v>
      </c>
      <c r="D404" s="259">
        <v>900</v>
      </c>
      <c r="E404" s="799"/>
      <c r="F404" s="258">
        <f aca="true" t="shared" si="8" ref="F404:F411">+D404*E404</f>
        <v>0</v>
      </c>
    </row>
    <row r="405" spans="1:6" ht="15.75">
      <c r="A405" s="52" t="s">
        <v>2</v>
      </c>
      <c r="B405" s="284" t="s">
        <v>925</v>
      </c>
      <c r="C405" s="310" t="s">
        <v>1218</v>
      </c>
      <c r="D405" s="259">
        <v>250</v>
      </c>
      <c r="E405" s="799"/>
      <c r="F405" s="258">
        <f t="shared" si="8"/>
        <v>0</v>
      </c>
    </row>
    <row r="406" spans="1:6" ht="15.75">
      <c r="A406" s="52" t="s">
        <v>3</v>
      </c>
      <c r="B406" s="284" t="s">
        <v>1332</v>
      </c>
      <c r="C406" s="310" t="s">
        <v>1218</v>
      </c>
      <c r="D406" s="259">
        <v>250</v>
      </c>
      <c r="E406" s="799"/>
      <c r="F406" s="258">
        <f t="shared" si="8"/>
        <v>0</v>
      </c>
    </row>
    <row r="407" spans="1:6" ht="30">
      <c r="A407" s="52" t="s">
        <v>926</v>
      </c>
      <c r="B407" s="284" t="s">
        <v>927</v>
      </c>
      <c r="C407" s="273" t="s">
        <v>1072</v>
      </c>
      <c r="D407" s="259">
        <f>117.7+28.05+219.44+16.36+16.36+776.35</f>
        <v>1174.26</v>
      </c>
      <c r="E407" s="799"/>
      <c r="F407" s="258">
        <f t="shared" si="8"/>
        <v>0</v>
      </c>
    </row>
    <row r="408" spans="1:6" ht="30">
      <c r="A408" s="52" t="s">
        <v>928</v>
      </c>
      <c r="B408" s="284" t="s">
        <v>1316</v>
      </c>
      <c r="C408" s="273" t="s">
        <v>183</v>
      </c>
      <c r="D408" s="259">
        <v>1</v>
      </c>
      <c r="E408" s="799"/>
      <c r="F408" s="258">
        <f t="shared" si="8"/>
        <v>0</v>
      </c>
    </row>
    <row r="409" spans="1:6" ht="47.25">
      <c r="A409" s="52" t="s">
        <v>929</v>
      </c>
      <c r="B409" s="284" t="s">
        <v>1315</v>
      </c>
      <c r="C409" s="273" t="s">
        <v>183</v>
      </c>
      <c r="D409" s="259">
        <v>1</v>
      </c>
      <c r="E409" s="799"/>
      <c r="F409" s="258">
        <f t="shared" si="8"/>
        <v>0</v>
      </c>
    </row>
    <row r="410" spans="1:6" ht="96" customHeight="1">
      <c r="A410" s="52" t="s">
        <v>930</v>
      </c>
      <c r="B410" s="284" t="s">
        <v>1223</v>
      </c>
      <c r="C410" s="273" t="s">
        <v>183</v>
      </c>
      <c r="D410" s="259">
        <v>118</v>
      </c>
      <c r="E410" s="799"/>
      <c r="F410" s="242">
        <f t="shared" si="8"/>
        <v>0</v>
      </c>
    </row>
    <row r="411" spans="1:6" ht="30">
      <c r="A411" s="52" t="s">
        <v>931</v>
      </c>
      <c r="B411" s="284" t="s">
        <v>934</v>
      </c>
      <c r="C411" s="273" t="s">
        <v>1072</v>
      </c>
      <c r="D411" s="259">
        <f>18.36+70.72+15.6</f>
        <v>104.67999999999999</v>
      </c>
      <c r="E411" s="799"/>
      <c r="F411" s="242">
        <f t="shared" si="8"/>
        <v>0</v>
      </c>
    </row>
    <row r="412" spans="1:6" ht="60.75">
      <c r="A412" s="52" t="s">
        <v>935</v>
      </c>
      <c r="B412" s="284" t="s">
        <v>1186</v>
      </c>
      <c r="C412" s="273"/>
      <c r="D412" s="259"/>
      <c r="E412" s="800"/>
      <c r="F412" s="242"/>
    </row>
    <row r="413" spans="1:6" ht="17.25">
      <c r="A413" s="52" t="s">
        <v>1</v>
      </c>
      <c r="B413" s="284" t="s">
        <v>936</v>
      </c>
      <c r="C413" s="273" t="s">
        <v>1217</v>
      </c>
      <c r="D413" s="259">
        <v>4.32</v>
      </c>
      <c r="E413" s="799"/>
      <c r="F413" s="242">
        <f>+D413*E413</f>
        <v>0</v>
      </c>
    </row>
    <row r="414" spans="1:6" ht="15.75">
      <c r="A414" s="52" t="s">
        <v>2</v>
      </c>
      <c r="B414" s="284" t="s">
        <v>937</v>
      </c>
      <c r="C414" s="273" t="s">
        <v>1072</v>
      </c>
      <c r="D414" s="259">
        <f>+(40*1.1*0.3*2)+(40*0.9*0.25)</f>
        <v>35.4</v>
      </c>
      <c r="E414" s="799"/>
      <c r="F414" s="242">
        <f>+D414*E414</f>
        <v>0</v>
      </c>
    </row>
    <row r="415" spans="1:6" ht="15">
      <c r="A415" s="277" t="s">
        <v>3</v>
      </c>
      <c r="B415" s="284" t="s">
        <v>938</v>
      </c>
      <c r="C415" s="310" t="s">
        <v>721</v>
      </c>
      <c r="D415" s="259">
        <v>550</v>
      </c>
      <c r="E415" s="799"/>
      <c r="F415" s="242">
        <f>+D415*E415</f>
        <v>0</v>
      </c>
    </row>
    <row r="416" spans="1:6" ht="60">
      <c r="A416" s="277" t="s">
        <v>1310</v>
      </c>
      <c r="B416" s="284" t="s">
        <v>1311</v>
      </c>
      <c r="C416" s="310" t="s">
        <v>183</v>
      </c>
      <c r="D416" s="259">
        <v>1</v>
      </c>
      <c r="E416" s="799"/>
      <c r="F416" s="242">
        <f>+D416*E416</f>
        <v>0</v>
      </c>
    </row>
    <row r="417" spans="1:6" ht="15">
      <c r="A417" s="277"/>
      <c r="B417" s="278"/>
      <c r="C417" s="310"/>
      <c r="D417" s="259"/>
      <c r="E417" s="800"/>
      <c r="F417" s="242"/>
    </row>
    <row r="418" spans="1:6" ht="15">
      <c r="A418" s="208"/>
      <c r="B418" s="208" t="s">
        <v>89</v>
      </c>
      <c r="C418" s="367"/>
      <c r="D418" s="148"/>
      <c r="E418" s="787"/>
      <c r="F418" s="148">
        <f>SUM(F366:F417)</f>
        <v>0</v>
      </c>
    </row>
    <row r="419" spans="1:6" ht="15">
      <c r="A419" s="29"/>
      <c r="B419" s="50"/>
      <c r="C419" s="356"/>
      <c r="D419" s="126"/>
      <c r="E419" s="771"/>
      <c r="F419" s="126"/>
    </row>
    <row r="420" spans="1:6" ht="15">
      <c r="A420" s="29"/>
      <c r="B420" s="50"/>
      <c r="C420" s="356"/>
      <c r="D420" s="126"/>
      <c r="E420" s="771"/>
      <c r="F420" s="126"/>
    </row>
    <row r="421" spans="1:6" ht="15.75">
      <c r="A421" s="406" t="s">
        <v>397</v>
      </c>
      <c r="B421" s="6" t="s">
        <v>126</v>
      </c>
      <c r="C421" s="367"/>
      <c r="D421" s="152"/>
      <c r="E421" s="806"/>
      <c r="F421" s="5"/>
    </row>
    <row r="422" spans="1:6" ht="15">
      <c r="A422" s="328"/>
      <c r="B422" s="36" t="s">
        <v>30</v>
      </c>
      <c r="C422" s="294"/>
      <c r="D422" s="41"/>
      <c r="E422" s="807"/>
      <c r="F422" s="7"/>
    </row>
    <row r="423" spans="1:6" ht="22.5">
      <c r="A423" s="52" t="s">
        <v>25</v>
      </c>
      <c r="B423" s="37" t="s">
        <v>127</v>
      </c>
      <c r="C423" s="294"/>
      <c r="D423" s="41"/>
      <c r="E423" s="807"/>
      <c r="F423" s="7"/>
    </row>
    <row r="424" spans="1:6" ht="15">
      <c r="A424" s="52" t="s">
        <v>26</v>
      </c>
      <c r="B424" s="37" t="s">
        <v>128</v>
      </c>
      <c r="C424" s="294"/>
      <c r="D424" s="41"/>
      <c r="E424" s="807"/>
      <c r="F424" s="7"/>
    </row>
    <row r="425" spans="1:6" ht="15">
      <c r="A425" s="52" t="s">
        <v>1</v>
      </c>
      <c r="B425" s="37" t="s">
        <v>45</v>
      </c>
      <c r="C425" s="294"/>
      <c r="D425" s="41"/>
      <c r="E425" s="807"/>
      <c r="F425" s="7"/>
    </row>
    <row r="426" spans="1:6" ht="15">
      <c r="A426" s="52" t="s">
        <v>2</v>
      </c>
      <c r="B426" s="37" t="s">
        <v>46</v>
      </c>
      <c r="C426" s="294"/>
      <c r="D426" s="41"/>
      <c r="E426" s="807"/>
      <c r="F426" s="7"/>
    </row>
    <row r="427" spans="1:6" ht="15">
      <c r="A427" s="52" t="s">
        <v>3</v>
      </c>
      <c r="B427" s="37" t="s">
        <v>129</v>
      </c>
      <c r="C427" s="294"/>
      <c r="D427" s="41"/>
      <c r="E427" s="807"/>
      <c r="F427" s="7"/>
    </row>
    <row r="428" spans="1:6" ht="15">
      <c r="A428" s="52" t="s">
        <v>4</v>
      </c>
      <c r="B428" s="37" t="s">
        <v>47</v>
      </c>
      <c r="C428" s="294"/>
      <c r="D428" s="41"/>
      <c r="E428" s="807"/>
      <c r="F428" s="7"/>
    </row>
    <row r="429" spans="1:6" ht="15">
      <c r="A429" s="52" t="s">
        <v>5</v>
      </c>
      <c r="B429" s="37" t="s">
        <v>0</v>
      </c>
      <c r="C429" s="294"/>
      <c r="D429" s="41"/>
      <c r="E429" s="807"/>
      <c r="F429" s="7"/>
    </row>
    <row r="430" spans="1:6" ht="33.75">
      <c r="A430" s="52" t="s">
        <v>8</v>
      </c>
      <c r="B430" s="37" t="s">
        <v>53</v>
      </c>
      <c r="C430" s="294"/>
      <c r="D430" s="41"/>
      <c r="E430" s="807"/>
      <c r="F430" s="7"/>
    </row>
    <row r="431" spans="1:6" ht="15">
      <c r="A431" s="52" t="s">
        <v>10</v>
      </c>
      <c r="B431" s="37" t="s">
        <v>130</v>
      </c>
      <c r="C431" s="294"/>
      <c r="D431" s="41"/>
      <c r="E431" s="807"/>
      <c r="F431" s="7"/>
    </row>
    <row r="432" spans="1:6" ht="22.5">
      <c r="A432" s="52" t="s">
        <v>11</v>
      </c>
      <c r="B432" s="37" t="s">
        <v>131</v>
      </c>
      <c r="C432" s="294"/>
      <c r="D432" s="41"/>
      <c r="E432" s="807"/>
      <c r="F432" s="7"/>
    </row>
    <row r="433" spans="1:6" ht="311.25" customHeight="1">
      <c r="A433" s="52" t="s">
        <v>27</v>
      </c>
      <c r="B433" s="60" t="s">
        <v>141</v>
      </c>
      <c r="C433" s="273"/>
      <c r="D433" s="155"/>
      <c r="E433" s="808"/>
      <c r="F433" s="156"/>
    </row>
    <row r="434" spans="1:6" ht="22.5">
      <c r="A434" s="52" t="s">
        <v>28</v>
      </c>
      <c r="B434" s="38" t="s">
        <v>43</v>
      </c>
      <c r="C434" s="273"/>
      <c r="D434" s="155"/>
      <c r="E434" s="808"/>
      <c r="F434" s="156"/>
    </row>
    <row r="435" spans="1:6" ht="90">
      <c r="A435" s="52"/>
      <c r="B435" s="381" t="s">
        <v>1224</v>
      </c>
      <c r="C435" s="273"/>
      <c r="D435" s="155"/>
      <c r="E435" s="808"/>
      <c r="F435" s="156"/>
    </row>
    <row r="436" spans="1:6" ht="15">
      <c r="A436" s="52"/>
      <c r="B436" s="38"/>
      <c r="C436" s="273"/>
      <c r="D436" s="155"/>
      <c r="E436" s="808"/>
      <c r="F436" s="156"/>
    </row>
    <row r="437" spans="1:6" ht="137.25">
      <c r="A437" s="100" t="s">
        <v>939</v>
      </c>
      <c r="B437" s="285" t="s">
        <v>941</v>
      </c>
      <c r="C437" s="303" t="s">
        <v>1072</v>
      </c>
      <c r="D437" s="286">
        <v>776.35</v>
      </c>
      <c r="E437" s="798"/>
      <c r="F437" s="287">
        <f aca="true" t="shared" si="9" ref="F437:F444">+D437*E437</f>
        <v>0</v>
      </c>
    </row>
    <row r="438" spans="1:6" ht="137.25">
      <c r="A438" s="100" t="s">
        <v>940</v>
      </c>
      <c r="B438" s="285" t="s">
        <v>1187</v>
      </c>
      <c r="C438" s="303" t="s">
        <v>1072</v>
      </c>
      <c r="D438" s="286">
        <f>21.75+21.75+21.75+21.75+12.85</f>
        <v>99.85</v>
      </c>
      <c r="E438" s="798"/>
      <c r="F438" s="287">
        <f t="shared" si="9"/>
        <v>0</v>
      </c>
    </row>
    <row r="439" spans="1:6" ht="122.25">
      <c r="A439" s="100" t="s">
        <v>942</v>
      </c>
      <c r="B439" s="285" t="s">
        <v>1188</v>
      </c>
      <c r="C439" s="303" t="s">
        <v>1072</v>
      </c>
      <c r="D439" s="286">
        <v>169.86</v>
      </c>
      <c r="E439" s="798"/>
      <c r="F439" s="287">
        <f t="shared" si="9"/>
        <v>0</v>
      </c>
    </row>
    <row r="440" spans="1:6" ht="45">
      <c r="A440" s="100"/>
      <c r="B440" s="285" t="s">
        <v>943</v>
      </c>
      <c r="C440" s="303" t="s">
        <v>1072</v>
      </c>
      <c r="D440" s="286">
        <f>41.37+26.26+39.27+39.27+23.69</f>
        <v>169.86</v>
      </c>
      <c r="E440" s="798"/>
      <c r="F440" s="287">
        <f t="shared" si="9"/>
        <v>0</v>
      </c>
    </row>
    <row r="441" spans="1:6" ht="123" customHeight="1">
      <c r="A441" s="100" t="s">
        <v>944</v>
      </c>
      <c r="B441" s="285" t="s">
        <v>946</v>
      </c>
      <c r="C441" s="303" t="s">
        <v>1072</v>
      </c>
      <c r="D441" s="286">
        <f>8.87+12.33+10.38+10.41+7.28+1.44+5.66+11.71+10.89+12.36+2.3+8.9</f>
        <v>102.52999999999999</v>
      </c>
      <c r="E441" s="798"/>
      <c r="F441" s="287">
        <f t="shared" si="9"/>
        <v>0</v>
      </c>
    </row>
    <row r="442" spans="1:6" ht="122.25" customHeight="1">
      <c r="A442" s="100" t="s">
        <v>945</v>
      </c>
      <c r="B442" s="285" t="s">
        <v>947</v>
      </c>
      <c r="C442" s="303" t="s">
        <v>1072</v>
      </c>
      <c r="D442" s="286">
        <f>4.55+4.53+5.02+4.55</f>
        <v>18.65</v>
      </c>
      <c r="E442" s="798"/>
      <c r="F442" s="287">
        <f t="shared" si="9"/>
        <v>0</v>
      </c>
    </row>
    <row r="443" spans="1:6" ht="120">
      <c r="A443" s="100" t="s">
        <v>948</v>
      </c>
      <c r="B443" s="285" t="s">
        <v>1189</v>
      </c>
      <c r="C443" s="303" t="s">
        <v>1072</v>
      </c>
      <c r="D443" s="286">
        <f>13.66+8.08+2.71*1.8</f>
        <v>26.618000000000002</v>
      </c>
      <c r="E443" s="798"/>
      <c r="F443" s="287">
        <f t="shared" si="9"/>
        <v>0</v>
      </c>
    </row>
    <row r="444" spans="1:6" ht="75">
      <c r="A444" s="100" t="s">
        <v>949</v>
      </c>
      <c r="B444" s="285" t="s">
        <v>950</v>
      </c>
      <c r="C444" s="303" t="s">
        <v>1072</v>
      </c>
      <c r="D444" s="286">
        <f>8.18+8.18</f>
        <v>16.36</v>
      </c>
      <c r="E444" s="798"/>
      <c r="F444" s="287">
        <f t="shared" si="9"/>
        <v>0</v>
      </c>
    </row>
    <row r="445" spans="1:6" ht="15">
      <c r="A445" s="288"/>
      <c r="B445" s="289"/>
      <c r="C445" s="371"/>
      <c r="D445" s="290"/>
      <c r="E445" s="809"/>
      <c r="F445" s="291"/>
    </row>
    <row r="446" spans="1:6" ht="15">
      <c r="A446" s="208"/>
      <c r="B446" s="208" t="s">
        <v>132</v>
      </c>
      <c r="C446" s="367"/>
      <c r="D446" s="148"/>
      <c r="E446" s="787"/>
      <c r="F446" s="148">
        <f>SUM(F422:F445)</f>
        <v>0</v>
      </c>
    </row>
    <row r="447" spans="1:6" ht="15">
      <c r="A447" s="29"/>
      <c r="B447" s="50"/>
      <c r="C447" s="356"/>
      <c r="D447" s="126"/>
      <c r="E447" s="771"/>
      <c r="F447" s="126"/>
    </row>
    <row r="448" spans="1:6" ht="15">
      <c r="A448" s="329"/>
      <c r="B448" s="63"/>
      <c r="C448" s="372"/>
      <c r="D448" s="157"/>
      <c r="E448" s="810"/>
      <c r="F448" s="158"/>
    </row>
    <row r="449" spans="1:6" ht="15.75">
      <c r="A449" s="208" t="s">
        <v>398</v>
      </c>
      <c r="B449" s="6" t="s">
        <v>260</v>
      </c>
      <c r="C449" s="367"/>
      <c r="D449" s="199"/>
      <c r="E449" s="811"/>
      <c r="F449" s="5"/>
    </row>
    <row r="450" spans="1:6" ht="15">
      <c r="A450" s="328"/>
      <c r="B450" s="201" t="s">
        <v>30</v>
      </c>
      <c r="C450" s="294"/>
      <c r="D450" s="190"/>
      <c r="E450" s="796"/>
      <c r="F450" s="202"/>
    </row>
    <row r="451" spans="1:6" ht="22.5">
      <c r="A451" s="52" t="s">
        <v>25</v>
      </c>
      <c r="B451" s="37" t="s">
        <v>127</v>
      </c>
      <c r="C451" s="294"/>
      <c r="D451" s="190"/>
      <c r="E451" s="796"/>
      <c r="F451" s="202"/>
    </row>
    <row r="452" spans="1:6" ht="15">
      <c r="A452" s="52" t="s">
        <v>26</v>
      </c>
      <c r="B452" s="37" t="s">
        <v>128</v>
      </c>
      <c r="C452" s="294"/>
      <c r="D452" s="190"/>
      <c r="E452" s="796"/>
      <c r="F452" s="202"/>
    </row>
    <row r="453" spans="1:6" ht="15">
      <c r="A453" s="52" t="s">
        <v>1</v>
      </c>
      <c r="B453" s="37" t="s">
        <v>45</v>
      </c>
      <c r="C453" s="294"/>
      <c r="D453" s="190"/>
      <c r="E453" s="796"/>
      <c r="F453" s="202"/>
    </row>
    <row r="454" spans="1:6" ht="15">
      <c r="A454" s="52" t="s">
        <v>2</v>
      </c>
      <c r="B454" s="37" t="s">
        <v>46</v>
      </c>
      <c r="C454" s="294"/>
      <c r="D454" s="190"/>
      <c r="E454" s="796"/>
      <c r="F454" s="202"/>
    </row>
    <row r="455" spans="1:6" ht="15">
      <c r="A455" s="52" t="s">
        <v>3</v>
      </c>
      <c r="B455" s="37" t="s">
        <v>129</v>
      </c>
      <c r="C455" s="294"/>
      <c r="D455" s="190"/>
      <c r="E455" s="796"/>
      <c r="F455" s="202"/>
    </row>
    <row r="456" spans="1:6" ht="15">
      <c r="A456" s="52" t="s">
        <v>4</v>
      </c>
      <c r="B456" s="37" t="s">
        <v>47</v>
      </c>
      <c r="C456" s="294"/>
      <c r="D456" s="190"/>
      <c r="E456" s="796"/>
      <c r="F456" s="202"/>
    </row>
    <row r="457" spans="1:6" ht="15">
      <c r="A457" s="52" t="s">
        <v>5</v>
      </c>
      <c r="B457" s="37" t="s">
        <v>0</v>
      </c>
      <c r="C457" s="294"/>
      <c r="D457" s="190"/>
      <c r="E457" s="796"/>
      <c r="F457" s="202"/>
    </row>
    <row r="458" spans="1:6" ht="33.75">
      <c r="A458" s="52" t="s">
        <v>8</v>
      </c>
      <c r="B458" s="37" t="s">
        <v>53</v>
      </c>
      <c r="C458" s="294"/>
      <c r="D458" s="190"/>
      <c r="E458" s="796"/>
      <c r="F458" s="202"/>
    </row>
    <row r="459" spans="1:6" ht="15">
      <c r="A459" s="52" t="s">
        <v>10</v>
      </c>
      <c r="B459" s="37" t="s">
        <v>130</v>
      </c>
      <c r="C459" s="294"/>
      <c r="D459" s="190"/>
      <c r="E459" s="796"/>
      <c r="F459" s="202"/>
    </row>
    <row r="460" spans="1:6" ht="22.5">
      <c r="A460" s="52" t="s">
        <v>11</v>
      </c>
      <c r="B460" s="37" t="s">
        <v>131</v>
      </c>
      <c r="C460" s="294"/>
      <c r="D460" s="190"/>
      <c r="E460" s="796"/>
      <c r="F460" s="202"/>
    </row>
    <row r="461" spans="1:6" ht="33.75">
      <c r="A461" s="261" t="s">
        <v>399</v>
      </c>
      <c r="B461" s="233" t="s">
        <v>1190</v>
      </c>
      <c r="C461" s="294"/>
      <c r="D461" s="190"/>
      <c r="E461" s="796"/>
      <c r="F461" s="202"/>
    </row>
    <row r="462" spans="1:6" ht="296.25" customHeight="1">
      <c r="A462" s="52"/>
      <c r="B462" s="60" t="s">
        <v>1178</v>
      </c>
      <c r="C462" s="297"/>
      <c r="D462" s="197"/>
      <c r="E462" s="802"/>
      <c r="F462" s="198"/>
    </row>
    <row r="463" spans="1:6" ht="22.5">
      <c r="A463" s="261" t="s">
        <v>28</v>
      </c>
      <c r="B463" s="38" t="s">
        <v>43</v>
      </c>
      <c r="C463" s="297"/>
      <c r="D463" s="197"/>
      <c r="E463" s="802"/>
      <c r="F463" s="198"/>
    </row>
    <row r="464" spans="1:6" ht="15">
      <c r="A464" s="261"/>
      <c r="B464" s="285"/>
      <c r="C464" s="297"/>
      <c r="D464" s="292"/>
      <c r="E464" s="812"/>
      <c r="F464" s="293"/>
    </row>
    <row r="465" spans="1:6" ht="30">
      <c r="A465" s="52" t="s">
        <v>951</v>
      </c>
      <c r="B465" s="69" t="s">
        <v>952</v>
      </c>
      <c r="C465" s="273"/>
      <c r="D465" s="241"/>
      <c r="E465" s="797"/>
      <c r="F465" s="275"/>
    </row>
    <row r="466" spans="1:6" ht="107.25">
      <c r="A466" s="52"/>
      <c r="B466" s="240" t="s">
        <v>1225</v>
      </c>
      <c r="C466" s="273" t="s">
        <v>1072</v>
      </c>
      <c r="D466" s="241">
        <f>182.63+172+167.72+178.19+190.92+176.28+6.75</f>
        <v>1074.49</v>
      </c>
      <c r="E466" s="798"/>
      <c r="F466" s="275">
        <f aca="true" t="shared" si="10" ref="F466:F476">+D466*E466</f>
        <v>0</v>
      </c>
    </row>
    <row r="467" spans="1:6" ht="15.75">
      <c r="A467" s="52" t="s">
        <v>953</v>
      </c>
      <c r="B467" s="240" t="s">
        <v>954</v>
      </c>
      <c r="C467" s="273" t="s">
        <v>1072</v>
      </c>
      <c r="D467" s="241">
        <f>+(1.2*2.5+1.2*3.8+1.2*2.5)+0.7*2.5</f>
        <v>12.309999999999999</v>
      </c>
      <c r="E467" s="798"/>
      <c r="F467" s="275">
        <f t="shared" si="10"/>
        <v>0</v>
      </c>
    </row>
    <row r="468" spans="1:6" ht="30">
      <c r="A468" s="52" t="s">
        <v>955</v>
      </c>
      <c r="B468" s="240" t="s">
        <v>956</v>
      </c>
      <c r="C468" s="273" t="s">
        <v>1072</v>
      </c>
      <c r="D468" s="241">
        <f>16.2+16.2+3.6+5.94+10.44</f>
        <v>52.379999999999995</v>
      </c>
      <c r="E468" s="798"/>
      <c r="F468" s="275">
        <f t="shared" si="10"/>
        <v>0</v>
      </c>
    </row>
    <row r="469" spans="1:6" ht="36" customHeight="1">
      <c r="A469" s="52" t="s">
        <v>957</v>
      </c>
      <c r="B469" s="240" t="s">
        <v>958</v>
      </c>
      <c r="C469" s="273" t="s">
        <v>1072</v>
      </c>
      <c r="D469" s="241">
        <v>85</v>
      </c>
      <c r="E469" s="798"/>
      <c r="F469" s="275">
        <f t="shared" si="10"/>
        <v>0</v>
      </c>
    </row>
    <row r="470" spans="1:6" ht="180">
      <c r="A470" s="52" t="s">
        <v>959</v>
      </c>
      <c r="B470" s="240" t="s">
        <v>961</v>
      </c>
      <c r="C470" s="273" t="s">
        <v>1072</v>
      </c>
      <c r="D470" s="241">
        <f>+(2.25*2.66)+(2.25*1.81)</f>
        <v>10.057500000000001</v>
      </c>
      <c r="E470" s="798"/>
      <c r="F470" s="275">
        <f t="shared" si="10"/>
        <v>0</v>
      </c>
    </row>
    <row r="471" spans="1:6" ht="76.5" customHeight="1">
      <c r="A471" s="52" t="s">
        <v>960</v>
      </c>
      <c r="B471" s="240" t="s">
        <v>964</v>
      </c>
      <c r="C471" s="273" t="s">
        <v>1218</v>
      </c>
      <c r="D471" s="241">
        <v>2.5</v>
      </c>
      <c r="E471" s="798"/>
      <c r="F471" s="275">
        <f t="shared" si="10"/>
        <v>0</v>
      </c>
    </row>
    <row r="472" spans="1:6" ht="111" customHeight="1">
      <c r="A472" s="52" t="s">
        <v>962</v>
      </c>
      <c r="B472" s="240" t="s">
        <v>965</v>
      </c>
      <c r="C472" s="273" t="s">
        <v>1072</v>
      </c>
      <c r="D472" s="241">
        <f>+(2.25*1.81)+(4.93+2.59)*2.22</f>
        <v>20.7669</v>
      </c>
      <c r="E472" s="798"/>
      <c r="F472" s="275">
        <f t="shared" si="10"/>
        <v>0</v>
      </c>
    </row>
    <row r="473" spans="1:6" ht="60">
      <c r="A473" s="52" t="s">
        <v>963</v>
      </c>
      <c r="B473" s="240" t="s">
        <v>1226</v>
      </c>
      <c r="C473" s="273" t="s">
        <v>1072</v>
      </c>
      <c r="D473" s="241">
        <f>22.5*4.65</f>
        <v>104.62500000000001</v>
      </c>
      <c r="E473" s="798"/>
      <c r="F473" s="275">
        <f t="shared" si="10"/>
        <v>0</v>
      </c>
    </row>
    <row r="474" spans="1:6" ht="93" customHeight="1">
      <c r="A474" s="52" t="s">
        <v>966</v>
      </c>
      <c r="B474" s="415" t="s">
        <v>1325</v>
      </c>
      <c r="C474" s="273" t="s">
        <v>1072</v>
      </c>
      <c r="D474" s="241">
        <f>5.5*3.2</f>
        <v>17.6</v>
      </c>
      <c r="E474" s="798"/>
      <c r="F474" s="275">
        <f t="shared" si="10"/>
        <v>0</v>
      </c>
    </row>
    <row r="475" spans="1:6" ht="94.5" customHeight="1">
      <c r="A475" s="52" t="s">
        <v>967</v>
      </c>
      <c r="B475" s="240" t="s">
        <v>1191</v>
      </c>
      <c r="C475" s="273" t="s">
        <v>1072</v>
      </c>
      <c r="D475" s="241">
        <f>+(5.5+3.2*2)*0.7</f>
        <v>8.33</v>
      </c>
      <c r="E475" s="798"/>
      <c r="F475" s="275">
        <f t="shared" si="10"/>
        <v>0</v>
      </c>
    </row>
    <row r="476" spans="1:6" ht="30">
      <c r="A476" s="52" t="s">
        <v>1167</v>
      </c>
      <c r="B476" s="240" t="s">
        <v>1299</v>
      </c>
      <c r="C476" s="273" t="s">
        <v>1218</v>
      </c>
      <c r="D476" s="241">
        <f>+(5.5+3.2*2)</f>
        <v>11.9</v>
      </c>
      <c r="E476" s="798"/>
      <c r="F476" s="275">
        <f t="shared" si="10"/>
        <v>0</v>
      </c>
    </row>
    <row r="477" spans="1:6" ht="45">
      <c r="A477" s="277" t="s">
        <v>1334</v>
      </c>
      <c r="B477" s="278" t="s">
        <v>1335</v>
      </c>
      <c r="C477" s="273" t="s">
        <v>1072</v>
      </c>
      <c r="D477" s="241">
        <v>61.12</v>
      </c>
      <c r="E477" s="798"/>
      <c r="F477" s="275">
        <f>+D477*E477</f>
        <v>0</v>
      </c>
    </row>
    <row r="478" spans="1:6" ht="15">
      <c r="A478" s="171"/>
      <c r="B478" s="3"/>
      <c r="C478" s="274"/>
      <c r="D478" s="243"/>
      <c r="E478" s="801"/>
      <c r="F478" s="276"/>
    </row>
    <row r="479" spans="1:6" ht="15">
      <c r="A479" s="330"/>
      <c r="B479" s="203" t="s">
        <v>400</v>
      </c>
      <c r="C479" s="361"/>
      <c r="D479" s="204"/>
      <c r="E479" s="813"/>
      <c r="F479" s="205">
        <f>SUM(F450:F478)</f>
        <v>0</v>
      </c>
    </row>
    <row r="480" spans="1:6" ht="15">
      <c r="A480" s="23"/>
      <c r="B480" s="43"/>
      <c r="C480" s="346"/>
      <c r="D480" s="101"/>
      <c r="E480" s="752"/>
      <c r="F480" s="102"/>
    </row>
    <row r="481" spans="1:6" ht="15">
      <c r="A481" s="23"/>
      <c r="B481" s="43"/>
      <c r="C481" s="346"/>
      <c r="D481" s="101"/>
      <c r="E481" s="752"/>
      <c r="F481" s="102"/>
    </row>
    <row r="482" spans="1:6" ht="15.75">
      <c r="A482" s="208" t="s">
        <v>418</v>
      </c>
      <c r="B482" s="6" t="s">
        <v>416</v>
      </c>
      <c r="C482" s="367"/>
      <c r="D482" s="199"/>
      <c r="E482" s="811"/>
      <c r="F482" s="5"/>
    </row>
    <row r="483" spans="1:6" ht="15">
      <c r="A483" s="328"/>
      <c r="B483" s="201" t="s">
        <v>30</v>
      </c>
      <c r="C483" s="294"/>
      <c r="D483" s="190"/>
      <c r="E483" s="796"/>
      <c r="F483" s="202"/>
    </row>
    <row r="484" spans="1:6" ht="22.5">
      <c r="A484" s="52" t="s">
        <v>25</v>
      </c>
      <c r="B484" s="37" t="s">
        <v>127</v>
      </c>
      <c r="C484" s="294"/>
      <c r="D484" s="190"/>
      <c r="E484" s="796"/>
      <c r="F484" s="202"/>
    </row>
    <row r="485" spans="1:6" ht="15">
      <c r="A485" s="52" t="s">
        <v>26</v>
      </c>
      <c r="B485" s="37" t="s">
        <v>128</v>
      </c>
      <c r="C485" s="294"/>
      <c r="D485" s="190"/>
      <c r="E485" s="796"/>
      <c r="F485" s="202"/>
    </row>
    <row r="486" spans="1:6" ht="15">
      <c r="A486" s="52" t="s">
        <v>1</v>
      </c>
      <c r="B486" s="37" t="s">
        <v>45</v>
      </c>
      <c r="C486" s="294"/>
      <c r="D486" s="190"/>
      <c r="E486" s="796"/>
      <c r="F486" s="202"/>
    </row>
    <row r="487" spans="1:6" ht="15">
      <c r="A487" s="52" t="s">
        <v>2</v>
      </c>
      <c r="B487" s="37" t="s">
        <v>46</v>
      </c>
      <c r="C487" s="294"/>
      <c r="D487" s="190"/>
      <c r="E487" s="796"/>
      <c r="F487" s="202"/>
    </row>
    <row r="488" spans="1:6" ht="15">
      <c r="A488" s="52" t="s">
        <v>3</v>
      </c>
      <c r="B488" s="37" t="s">
        <v>129</v>
      </c>
      <c r="C488" s="294"/>
      <c r="D488" s="190"/>
      <c r="E488" s="796"/>
      <c r="F488" s="202"/>
    </row>
    <row r="489" spans="1:6" ht="15">
      <c r="A489" s="52" t="s">
        <v>4</v>
      </c>
      <c r="B489" s="37" t="s">
        <v>47</v>
      </c>
      <c r="C489" s="294"/>
      <c r="D489" s="190"/>
      <c r="E489" s="796"/>
      <c r="F489" s="202"/>
    </row>
    <row r="490" spans="1:6" ht="15">
      <c r="A490" s="52" t="s">
        <v>5</v>
      </c>
      <c r="B490" s="37" t="s">
        <v>0</v>
      </c>
      <c r="C490" s="294"/>
      <c r="D490" s="190"/>
      <c r="E490" s="796"/>
      <c r="F490" s="202"/>
    </row>
    <row r="491" spans="1:6" ht="33.75">
      <c r="A491" s="52" t="s">
        <v>8</v>
      </c>
      <c r="B491" s="37" t="s">
        <v>53</v>
      </c>
      <c r="C491" s="294"/>
      <c r="D491" s="190"/>
      <c r="E491" s="796"/>
      <c r="F491" s="202"/>
    </row>
    <row r="492" spans="1:6" ht="15">
      <c r="A492" s="52" t="s">
        <v>10</v>
      </c>
      <c r="B492" s="37" t="s">
        <v>130</v>
      </c>
      <c r="C492" s="294"/>
      <c r="D492" s="190"/>
      <c r="E492" s="796"/>
      <c r="F492" s="202"/>
    </row>
    <row r="493" spans="1:6" ht="22.5">
      <c r="A493" s="52" t="s">
        <v>11</v>
      </c>
      <c r="B493" s="37" t="s">
        <v>131</v>
      </c>
      <c r="C493" s="294"/>
      <c r="D493" s="190"/>
      <c r="E493" s="796"/>
      <c r="F493" s="202"/>
    </row>
    <row r="494" spans="1:6" ht="33.75">
      <c r="A494" s="261" t="s">
        <v>399</v>
      </c>
      <c r="B494" s="233" t="s">
        <v>1190</v>
      </c>
      <c r="C494" s="294"/>
      <c r="D494" s="190"/>
      <c r="E494" s="796"/>
      <c r="F494" s="202"/>
    </row>
    <row r="495" spans="1:6" ht="296.25" customHeight="1">
      <c r="A495" s="52"/>
      <c r="B495" s="60" t="s">
        <v>1178</v>
      </c>
      <c r="C495" s="297"/>
      <c r="D495" s="197"/>
      <c r="E495" s="802"/>
      <c r="F495" s="198"/>
    </row>
    <row r="496" spans="1:6" ht="22.5">
      <c r="A496" s="261" t="s">
        <v>28</v>
      </c>
      <c r="B496" s="38" t="s">
        <v>43</v>
      </c>
      <c r="C496" s="297"/>
      <c r="D496" s="197"/>
      <c r="E496" s="802"/>
      <c r="F496" s="198"/>
    </row>
    <row r="497" spans="1:6" ht="15">
      <c r="A497" s="331"/>
      <c r="B497" s="382" t="s">
        <v>420</v>
      </c>
      <c r="C497" s="373"/>
      <c r="D497" s="383"/>
      <c r="E497" s="814"/>
      <c r="F497" s="383"/>
    </row>
    <row r="498" spans="1:6" ht="15">
      <c r="A498" s="332"/>
      <c r="B498" s="340" t="s">
        <v>422</v>
      </c>
      <c r="C498" s="374"/>
      <c r="D498" s="384"/>
      <c r="E498" s="815"/>
      <c r="F498" s="384"/>
    </row>
    <row r="499" spans="1:6" ht="15">
      <c r="A499" s="332"/>
      <c r="B499" s="340" t="s">
        <v>423</v>
      </c>
      <c r="C499" s="374"/>
      <c r="D499" s="384"/>
      <c r="E499" s="815"/>
      <c r="F499" s="384"/>
    </row>
    <row r="500" spans="1:6" ht="15">
      <c r="A500" s="332"/>
      <c r="B500" s="340" t="s">
        <v>424</v>
      </c>
      <c r="C500" s="374"/>
      <c r="D500" s="384"/>
      <c r="E500" s="815"/>
      <c r="F500" s="384"/>
    </row>
    <row r="501" spans="1:6" ht="15">
      <c r="A501" s="332"/>
      <c r="B501" s="340" t="s">
        <v>425</v>
      </c>
      <c r="C501" s="374"/>
      <c r="D501" s="384"/>
      <c r="E501" s="815"/>
      <c r="F501" s="384"/>
    </row>
    <row r="502" spans="1:6" ht="15">
      <c r="A502" s="332"/>
      <c r="B502" s="340" t="s">
        <v>426</v>
      </c>
      <c r="C502" s="374"/>
      <c r="D502" s="384"/>
      <c r="E502" s="815"/>
      <c r="F502" s="384"/>
    </row>
    <row r="503" spans="1:6" ht="15">
      <c r="A503" s="332"/>
      <c r="B503" s="340" t="s">
        <v>427</v>
      </c>
      <c r="C503" s="374"/>
      <c r="D503" s="384"/>
      <c r="E503" s="815"/>
      <c r="F503" s="384"/>
    </row>
    <row r="504" spans="1:6" ht="15">
      <c r="A504" s="332"/>
      <c r="B504" s="340" t="s">
        <v>428</v>
      </c>
      <c r="C504" s="374"/>
      <c r="D504" s="384"/>
      <c r="E504" s="815"/>
      <c r="F504" s="384"/>
    </row>
    <row r="505" spans="1:6" ht="15">
      <c r="A505" s="332"/>
      <c r="B505" s="340" t="s">
        <v>429</v>
      </c>
      <c r="C505" s="374"/>
      <c r="D505" s="384"/>
      <c r="E505" s="815"/>
      <c r="F505" s="384"/>
    </row>
    <row r="506" spans="1:6" ht="15">
      <c r="A506" s="332"/>
      <c r="B506" s="340" t="s">
        <v>430</v>
      </c>
      <c r="C506" s="374"/>
      <c r="D506" s="384"/>
      <c r="E506" s="815"/>
      <c r="F506" s="384"/>
    </row>
    <row r="507" spans="1:6" ht="15">
      <c r="A507" s="332"/>
      <c r="B507" s="340" t="s">
        <v>431</v>
      </c>
      <c r="C507" s="374"/>
      <c r="D507" s="384"/>
      <c r="E507" s="815"/>
      <c r="F507" s="384"/>
    </row>
    <row r="508" spans="1:6" ht="15">
      <c r="A508" s="332"/>
      <c r="B508" s="340" t="s">
        <v>432</v>
      </c>
      <c r="C508" s="374"/>
      <c r="D508" s="384"/>
      <c r="E508" s="815"/>
      <c r="F508" s="384"/>
    </row>
    <row r="509" spans="1:6" ht="15">
      <c r="A509" s="332"/>
      <c r="B509" s="340" t="s">
        <v>421</v>
      </c>
      <c r="C509" s="374"/>
      <c r="D509" s="384"/>
      <c r="E509" s="815"/>
      <c r="F509" s="384"/>
    </row>
    <row r="510" spans="1:6" ht="15">
      <c r="A510" s="333"/>
      <c r="B510" s="341" t="s">
        <v>433</v>
      </c>
      <c r="C510" s="375"/>
      <c r="D510" s="385">
        <v>8</v>
      </c>
      <c r="E510" s="816"/>
      <c r="F510" s="385">
        <f>SUM(E510*D510)</f>
        <v>0</v>
      </c>
    </row>
    <row r="511" spans="1:6" ht="15">
      <c r="A511" s="331"/>
      <c r="B511" s="382" t="s">
        <v>434</v>
      </c>
      <c r="C511" s="373"/>
      <c r="D511" s="383"/>
      <c r="E511" s="814"/>
      <c r="F511" s="383"/>
    </row>
    <row r="512" spans="1:6" ht="15">
      <c r="A512" s="332"/>
      <c r="B512" s="340" t="s">
        <v>435</v>
      </c>
      <c r="C512" s="374"/>
      <c r="D512" s="384"/>
      <c r="E512" s="815"/>
      <c r="F512" s="384"/>
    </row>
    <row r="513" spans="1:6" ht="15">
      <c r="A513" s="332"/>
      <c r="B513" s="340" t="s">
        <v>436</v>
      </c>
      <c r="C513" s="374"/>
      <c r="D513" s="384"/>
      <c r="E513" s="815"/>
      <c r="F513" s="384"/>
    </row>
    <row r="514" spans="1:6" ht="15">
      <c r="A514" s="332"/>
      <c r="B514" s="340" t="s">
        <v>437</v>
      </c>
      <c r="C514" s="374"/>
      <c r="D514" s="384"/>
      <c r="E514" s="815"/>
      <c r="F514" s="384"/>
    </row>
    <row r="515" spans="1:6" ht="15">
      <c r="A515" s="332"/>
      <c r="B515" s="340" t="s">
        <v>425</v>
      </c>
      <c r="C515" s="374"/>
      <c r="D515" s="384"/>
      <c r="E515" s="815"/>
      <c r="F515" s="384"/>
    </row>
    <row r="516" spans="1:6" ht="15">
      <c r="A516" s="332"/>
      <c r="B516" s="340" t="s">
        <v>426</v>
      </c>
      <c r="C516" s="374"/>
      <c r="D516" s="384"/>
      <c r="E516" s="815"/>
      <c r="F516" s="384"/>
    </row>
    <row r="517" spans="1:6" ht="15">
      <c r="A517" s="332"/>
      <c r="B517" s="340" t="s">
        <v>427</v>
      </c>
      <c r="C517" s="374"/>
      <c r="D517" s="384"/>
      <c r="E517" s="815"/>
      <c r="F517" s="384"/>
    </row>
    <row r="518" spans="1:6" ht="15">
      <c r="A518" s="332"/>
      <c r="B518" s="340" t="s">
        <v>428</v>
      </c>
      <c r="C518" s="374"/>
      <c r="D518" s="384"/>
      <c r="E518" s="815"/>
      <c r="F518" s="384"/>
    </row>
    <row r="519" spans="1:6" ht="15">
      <c r="A519" s="332"/>
      <c r="B519" s="340" t="s">
        <v>429</v>
      </c>
      <c r="C519" s="374"/>
      <c r="D519" s="384"/>
      <c r="E519" s="815"/>
      <c r="F519" s="384"/>
    </row>
    <row r="520" spans="1:6" ht="15">
      <c r="A520" s="332"/>
      <c r="B520" s="340" t="s">
        <v>438</v>
      </c>
      <c r="C520" s="374"/>
      <c r="D520" s="384"/>
      <c r="E520" s="815"/>
      <c r="F520" s="384"/>
    </row>
    <row r="521" spans="1:6" ht="15">
      <c r="A521" s="332"/>
      <c r="B521" s="340" t="s">
        <v>439</v>
      </c>
      <c r="C521" s="374"/>
      <c r="D521" s="384"/>
      <c r="E521" s="815"/>
      <c r="F521" s="384"/>
    </row>
    <row r="522" spans="1:6" ht="15">
      <c r="A522" s="332"/>
      <c r="B522" s="340" t="s">
        <v>432</v>
      </c>
      <c r="C522" s="374"/>
      <c r="D522" s="384"/>
      <c r="E522" s="815"/>
      <c r="F522" s="384"/>
    </row>
    <row r="523" spans="1:6" ht="15">
      <c r="A523" s="332"/>
      <c r="B523" s="340" t="s">
        <v>421</v>
      </c>
      <c r="C523" s="374"/>
      <c r="D523" s="384"/>
      <c r="E523" s="815"/>
      <c r="F523" s="384"/>
    </row>
    <row r="524" spans="1:6" ht="15">
      <c r="A524" s="333"/>
      <c r="B524" s="341" t="s">
        <v>433</v>
      </c>
      <c r="C524" s="375"/>
      <c r="D524" s="385">
        <v>2</v>
      </c>
      <c r="E524" s="816"/>
      <c r="F524" s="385">
        <f>SUM(E524*D524)</f>
        <v>0</v>
      </c>
    </row>
    <row r="525" spans="1:6" ht="15">
      <c r="A525" s="331"/>
      <c r="B525" s="382" t="s">
        <v>440</v>
      </c>
      <c r="C525" s="373"/>
      <c r="D525" s="383"/>
      <c r="E525" s="814"/>
      <c r="F525" s="383"/>
    </row>
    <row r="526" spans="1:6" ht="15">
      <c r="A526" s="332"/>
      <c r="B526" s="340" t="s">
        <v>441</v>
      </c>
      <c r="C526" s="374"/>
      <c r="D526" s="384"/>
      <c r="E526" s="815"/>
      <c r="F526" s="384"/>
    </row>
    <row r="527" spans="1:6" ht="15">
      <c r="A527" s="332"/>
      <c r="B527" s="340" t="s">
        <v>442</v>
      </c>
      <c r="C527" s="374"/>
      <c r="D527" s="384"/>
      <c r="E527" s="815"/>
      <c r="F527" s="384"/>
    </row>
    <row r="528" spans="1:6" ht="15">
      <c r="A528" s="332"/>
      <c r="B528" s="340" t="s">
        <v>443</v>
      </c>
      <c r="C528" s="374"/>
      <c r="D528" s="384"/>
      <c r="E528" s="815"/>
      <c r="F528" s="384"/>
    </row>
    <row r="529" spans="1:6" ht="15">
      <c r="A529" s="332"/>
      <c r="B529" s="340" t="s">
        <v>425</v>
      </c>
      <c r="C529" s="374"/>
      <c r="D529" s="384"/>
      <c r="E529" s="815"/>
      <c r="F529" s="384"/>
    </row>
    <row r="530" spans="1:6" ht="15">
      <c r="A530" s="332"/>
      <c r="B530" s="340" t="s">
        <v>444</v>
      </c>
      <c r="C530" s="374"/>
      <c r="D530" s="384"/>
      <c r="E530" s="815"/>
      <c r="F530" s="384"/>
    </row>
    <row r="531" spans="1:6" ht="15">
      <c r="A531" s="332"/>
      <c r="B531" s="340" t="s">
        <v>445</v>
      </c>
      <c r="C531" s="374"/>
      <c r="D531" s="384"/>
      <c r="E531" s="815"/>
      <c r="F531" s="384"/>
    </row>
    <row r="532" spans="1:6" ht="15">
      <c r="A532" s="332"/>
      <c r="B532" s="340" t="s">
        <v>446</v>
      </c>
      <c r="C532" s="374"/>
      <c r="D532" s="384"/>
      <c r="E532" s="815"/>
      <c r="F532" s="384"/>
    </row>
    <row r="533" spans="1:6" ht="15">
      <c r="A533" s="332"/>
      <c r="B533" s="340" t="s">
        <v>447</v>
      </c>
      <c r="C533" s="374"/>
      <c r="D533" s="384"/>
      <c r="E533" s="815"/>
      <c r="F533" s="384"/>
    </row>
    <row r="534" spans="1:6" ht="15">
      <c r="A534" s="332"/>
      <c r="B534" s="340" t="s">
        <v>448</v>
      </c>
      <c r="C534" s="374"/>
      <c r="D534" s="384"/>
      <c r="E534" s="815"/>
      <c r="F534" s="384"/>
    </row>
    <row r="535" spans="1:6" ht="15">
      <c r="A535" s="332"/>
      <c r="B535" s="340" t="s">
        <v>426</v>
      </c>
      <c r="C535" s="374"/>
      <c r="D535" s="384"/>
      <c r="E535" s="815"/>
      <c r="F535" s="384"/>
    </row>
    <row r="536" spans="1:6" ht="15">
      <c r="A536" s="332"/>
      <c r="B536" s="340" t="s">
        <v>427</v>
      </c>
      <c r="C536" s="374"/>
      <c r="D536" s="384"/>
      <c r="E536" s="815"/>
      <c r="F536" s="384"/>
    </row>
    <row r="537" spans="1:6" ht="15">
      <c r="A537" s="332"/>
      <c r="B537" s="340" t="s">
        <v>449</v>
      </c>
      <c r="C537" s="374"/>
      <c r="D537" s="384"/>
      <c r="E537" s="815"/>
      <c r="F537" s="384"/>
    </row>
    <row r="538" spans="1:6" ht="15">
      <c r="A538" s="332"/>
      <c r="B538" s="340" t="s">
        <v>427</v>
      </c>
      <c r="C538" s="374"/>
      <c r="D538" s="384"/>
      <c r="E538" s="815"/>
      <c r="F538" s="384"/>
    </row>
    <row r="539" spans="1:6" ht="15">
      <c r="A539" s="332"/>
      <c r="B539" s="340" t="s">
        <v>428</v>
      </c>
      <c r="C539" s="374"/>
      <c r="D539" s="384"/>
      <c r="E539" s="815"/>
      <c r="F539" s="384"/>
    </row>
    <row r="540" spans="1:6" ht="15">
      <c r="A540" s="332"/>
      <c r="B540" s="340" t="s">
        <v>430</v>
      </c>
      <c r="C540" s="374"/>
      <c r="D540" s="384"/>
      <c r="E540" s="815"/>
      <c r="F540" s="384"/>
    </row>
    <row r="541" spans="1:6" ht="15">
      <c r="A541" s="332"/>
      <c r="B541" s="340" t="s">
        <v>431</v>
      </c>
      <c r="C541" s="374"/>
      <c r="D541" s="384"/>
      <c r="E541" s="815"/>
      <c r="F541" s="384"/>
    </row>
    <row r="542" spans="1:6" ht="15">
      <c r="A542" s="332"/>
      <c r="B542" s="340" t="s">
        <v>432</v>
      </c>
      <c r="C542" s="374"/>
      <c r="D542" s="384"/>
      <c r="E542" s="815"/>
      <c r="F542" s="384"/>
    </row>
    <row r="543" spans="1:6" ht="15">
      <c r="A543" s="332"/>
      <c r="B543" s="340" t="s">
        <v>421</v>
      </c>
      <c r="C543" s="374"/>
      <c r="D543" s="384"/>
      <c r="E543" s="815"/>
      <c r="F543" s="384"/>
    </row>
    <row r="544" spans="1:6" ht="15">
      <c r="A544" s="333"/>
      <c r="B544" s="341" t="s">
        <v>433</v>
      </c>
      <c r="C544" s="375"/>
      <c r="D544" s="385">
        <v>4</v>
      </c>
      <c r="E544" s="816"/>
      <c r="F544" s="385">
        <f>SUM(E544*D544)</f>
        <v>0</v>
      </c>
    </row>
    <row r="545" spans="1:6" ht="15">
      <c r="A545" s="331"/>
      <c r="B545" s="382" t="s">
        <v>450</v>
      </c>
      <c r="C545" s="373"/>
      <c r="D545" s="383"/>
      <c r="E545" s="814"/>
      <c r="F545" s="383"/>
    </row>
    <row r="546" spans="1:6" ht="15">
      <c r="A546" s="332"/>
      <c r="B546" s="340" t="s">
        <v>451</v>
      </c>
      <c r="C546" s="374"/>
      <c r="D546" s="384"/>
      <c r="E546" s="815"/>
      <c r="F546" s="384"/>
    </row>
    <row r="547" spans="1:6" ht="15">
      <c r="A547" s="332"/>
      <c r="B547" s="340" t="s">
        <v>452</v>
      </c>
      <c r="C547" s="374"/>
      <c r="D547" s="384"/>
      <c r="E547" s="815"/>
      <c r="F547" s="384"/>
    </row>
    <row r="548" spans="1:6" ht="15">
      <c r="A548" s="332"/>
      <c r="B548" s="340" t="s">
        <v>453</v>
      </c>
      <c r="C548" s="374"/>
      <c r="D548" s="384"/>
      <c r="E548" s="815"/>
      <c r="F548" s="384"/>
    </row>
    <row r="549" spans="1:6" ht="15">
      <c r="A549" s="332"/>
      <c r="B549" s="340" t="s">
        <v>425</v>
      </c>
      <c r="C549" s="374"/>
      <c r="D549" s="384"/>
      <c r="E549" s="815"/>
      <c r="F549" s="384"/>
    </row>
    <row r="550" spans="1:6" ht="15">
      <c r="A550" s="332"/>
      <c r="B550" s="340" t="s">
        <v>454</v>
      </c>
      <c r="C550" s="374"/>
      <c r="D550" s="384"/>
      <c r="E550" s="815"/>
      <c r="F550" s="384"/>
    </row>
    <row r="551" spans="1:6" ht="15">
      <c r="A551" s="332"/>
      <c r="B551" s="340" t="s">
        <v>445</v>
      </c>
      <c r="C551" s="374"/>
      <c r="D551" s="384"/>
      <c r="E551" s="815"/>
      <c r="F551" s="384"/>
    </row>
    <row r="552" spans="1:6" ht="15">
      <c r="A552" s="332"/>
      <c r="B552" s="340" t="s">
        <v>446</v>
      </c>
      <c r="C552" s="374"/>
      <c r="D552" s="384"/>
      <c r="E552" s="815"/>
      <c r="F552" s="384"/>
    </row>
    <row r="553" spans="1:6" ht="15">
      <c r="A553" s="332"/>
      <c r="B553" s="340" t="s">
        <v>447</v>
      </c>
      <c r="C553" s="374"/>
      <c r="D553" s="384"/>
      <c r="E553" s="815"/>
      <c r="F553" s="384"/>
    </row>
    <row r="554" spans="1:6" ht="15">
      <c r="A554" s="332"/>
      <c r="B554" s="340" t="s">
        <v>448</v>
      </c>
      <c r="C554" s="374"/>
      <c r="D554" s="384"/>
      <c r="E554" s="815"/>
      <c r="F554" s="384"/>
    </row>
    <row r="555" spans="1:6" ht="15">
      <c r="A555" s="332"/>
      <c r="B555" s="340" t="s">
        <v>426</v>
      </c>
      <c r="C555" s="374"/>
      <c r="D555" s="384"/>
      <c r="E555" s="815"/>
      <c r="F555" s="384"/>
    </row>
    <row r="556" spans="1:6" ht="15">
      <c r="A556" s="332"/>
      <c r="B556" s="340" t="s">
        <v>427</v>
      </c>
      <c r="C556" s="374"/>
      <c r="D556" s="384"/>
      <c r="E556" s="815"/>
      <c r="F556" s="384"/>
    </row>
    <row r="557" spans="1:6" ht="15">
      <c r="A557" s="332"/>
      <c r="B557" s="340" t="s">
        <v>428</v>
      </c>
      <c r="C557" s="374"/>
      <c r="D557" s="384"/>
      <c r="E557" s="815"/>
      <c r="F557" s="384"/>
    </row>
    <row r="558" spans="1:6" ht="15">
      <c r="A558" s="332"/>
      <c r="B558" s="340" t="s">
        <v>430</v>
      </c>
      <c r="C558" s="374"/>
      <c r="D558" s="384"/>
      <c r="E558" s="815"/>
      <c r="F558" s="384"/>
    </row>
    <row r="559" spans="1:6" ht="15">
      <c r="A559" s="332"/>
      <c r="B559" s="340" t="s">
        <v>431</v>
      </c>
      <c r="C559" s="374"/>
      <c r="D559" s="384"/>
      <c r="E559" s="815"/>
      <c r="F559" s="384"/>
    </row>
    <row r="560" spans="1:6" ht="15">
      <c r="A560" s="332"/>
      <c r="B560" s="340" t="s">
        <v>432</v>
      </c>
      <c r="C560" s="374"/>
      <c r="D560" s="384"/>
      <c r="E560" s="815"/>
      <c r="F560" s="384"/>
    </row>
    <row r="561" spans="1:6" ht="15">
      <c r="A561" s="332"/>
      <c r="B561" s="340" t="s">
        <v>421</v>
      </c>
      <c r="C561" s="374"/>
      <c r="D561" s="384"/>
      <c r="E561" s="815"/>
      <c r="F561" s="384"/>
    </row>
    <row r="562" spans="1:6" ht="15">
      <c r="A562" s="333"/>
      <c r="B562" s="341" t="s">
        <v>433</v>
      </c>
      <c r="C562" s="375"/>
      <c r="D562" s="385">
        <v>1</v>
      </c>
      <c r="E562" s="816"/>
      <c r="F562" s="385">
        <f>SUM(E562*D562)</f>
        <v>0</v>
      </c>
    </row>
    <row r="563" spans="1:6" ht="15">
      <c r="A563" s="331"/>
      <c r="B563" s="382" t="s">
        <v>455</v>
      </c>
      <c r="C563" s="373"/>
      <c r="D563" s="383"/>
      <c r="E563" s="814"/>
      <c r="F563" s="383"/>
    </row>
    <row r="564" spans="1:6" ht="15">
      <c r="A564" s="332"/>
      <c r="B564" s="340" t="s">
        <v>456</v>
      </c>
      <c r="C564" s="374"/>
      <c r="D564" s="384"/>
      <c r="E564" s="815"/>
      <c r="F564" s="384"/>
    </row>
    <row r="565" spans="1:6" ht="15">
      <c r="A565" s="332"/>
      <c r="B565" s="340" t="s">
        <v>457</v>
      </c>
      <c r="C565" s="374"/>
      <c r="D565" s="384"/>
      <c r="E565" s="815"/>
      <c r="F565" s="384"/>
    </row>
    <row r="566" spans="1:6" ht="15">
      <c r="A566" s="332"/>
      <c r="B566" s="340" t="s">
        <v>458</v>
      </c>
      <c r="C566" s="374"/>
      <c r="D566" s="384"/>
      <c r="E566" s="815"/>
      <c r="F566" s="384"/>
    </row>
    <row r="567" spans="1:6" ht="15">
      <c r="A567" s="332"/>
      <c r="B567" s="340" t="s">
        <v>425</v>
      </c>
      <c r="C567" s="374"/>
      <c r="D567" s="384"/>
      <c r="E567" s="815"/>
      <c r="F567" s="384"/>
    </row>
    <row r="568" spans="1:6" ht="15">
      <c r="A568" s="332"/>
      <c r="B568" s="340" t="s">
        <v>459</v>
      </c>
      <c r="C568" s="374"/>
      <c r="D568" s="384"/>
      <c r="E568" s="815"/>
      <c r="F568" s="384"/>
    </row>
    <row r="569" spans="1:6" ht="15">
      <c r="A569" s="332"/>
      <c r="B569" s="340" t="s">
        <v>446</v>
      </c>
      <c r="C569" s="374"/>
      <c r="D569" s="384"/>
      <c r="E569" s="815"/>
      <c r="F569" s="384"/>
    </row>
    <row r="570" spans="1:6" ht="15">
      <c r="A570" s="332"/>
      <c r="B570" s="340" t="s">
        <v>447</v>
      </c>
      <c r="C570" s="374"/>
      <c r="D570" s="384"/>
      <c r="E570" s="815"/>
      <c r="F570" s="384"/>
    </row>
    <row r="571" spans="1:6" ht="15">
      <c r="A571" s="332"/>
      <c r="B571" s="340" t="s">
        <v>448</v>
      </c>
      <c r="C571" s="374"/>
      <c r="D571" s="384"/>
      <c r="E571" s="815"/>
      <c r="F571" s="384"/>
    </row>
    <row r="572" spans="1:6" ht="15">
      <c r="A572" s="332"/>
      <c r="B572" s="340" t="s">
        <v>460</v>
      </c>
      <c r="C572" s="374"/>
      <c r="D572" s="384"/>
      <c r="E572" s="815"/>
      <c r="F572" s="384"/>
    </row>
    <row r="573" spans="1:6" ht="15">
      <c r="A573" s="332"/>
      <c r="B573" s="340" t="s">
        <v>449</v>
      </c>
      <c r="C573" s="374"/>
      <c r="D573" s="384"/>
      <c r="E573" s="815"/>
      <c r="F573" s="384"/>
    </row>
    <row r="574" spans="1:6" ht="15">
      <c r="A574" s="332"/>
      <c r="B574" s="340" t="s">
        <v>427</v>
      </c>
      <c r="C574" s="374"/>
      <c r="D574" s="384"/>
      <c r="E574" s="815"/>
      <c r="F574" s="384"/>
    </row>
    <row r="575" spans="1:6" ht="15">
      <c r="A575" s="332"/>
      <c r="B575" s="340" t="s">
        <v>429</v>
      </c>
      <c r="C575" s="374"/>
      <c r="D575" s="384"/>
      <c r="E575" s="815"/>
      <c r="F575" s="384"/>
    </row>
    <row r="576" spans="1:6" ht="15">
      <c r="A576" s="332"/>
      <c r="B576" s="340" t="s">
        <v>438</v>
      </c>
      <c r="C576" s="374"/>
      <c r="D576" s="384"/>
      <c r="E576" s="815"/>
      <c r="F576" s="384"/>
    </row>
    <row r="577" spans="1:6" ht="15">
      <c r="A577" s="332"/>
      <c r="B577" s="340" t="s">
        <v>439</v>
      </c>
      <c r="C577" s="374"/>
      <c r="D577" s="384"/>
      <c r="E577" s="815"/>
      <c r="F577" s="384"/>
    </row>
    <row r="578" spans="1:6" ht="15">
      <c r="A578" s="332"/>
      <c r="B578" s="340" t="s">
        <v>432</v>
      </c>
      <c r="C578" s="374"/>
      <c r="D578" s="384"/>
      <c r="E578" s="815"/>
      <c r="F578" s="384"/>
    </row>
    <row r="579" spans="1:6" ht="15">
      <c r="A579" s="332"/>
      <c r="B579" s="340" t="s">
        <v>421</v>
      </c>
      <c r="C579" s="374"/>
      <c r="D579" s="384"/>
      <c r="E579" s="815"/>
      <c r="F579" s="384"/>
    </row>
    <row r="580" spans="1:6" ht="15">
      <c r="A580" s="333"/>
      <c r="B580" s="341" t="s">
        <v>433</v>
      </c>
      <c r="C580" s="375"/>
      <c r="D580" s="385">
        <v>16</v>
      </c>
      <c r="E580" s="816"/>
      <c r="F580" s="385">
        <f>SUM(E580*D580)</f>
        <v>0</v>
      </c>
    </row>
    <row r="581" spans="1:6" ht="15">
      <c r="A581" s="331"/>
      <c r="B581" s="382" t="s">
        <v>461</v>
      </c>
      <c r="C581" s="373"/>
      <c r="D581" s="383"/>
      <c r="E581" s="814"/>
      <c r="F581" s="383"/>
    </row>
    <row r="582" spans="1:6" ht="15">
      <c r="A582" s="332"/>
      <c r="B582" s="340" t="s">
        <v>462</v>
      </c>
      <c r="C582" s="374"/>
      <c r="D582" s="384"/>
      <c r="E582" s="815"/>
      <c r="F582" s="384"/>
    </row>
    <row r="583" spans="1:6" ht="15">
      <c r="A583" s="332"/>
      <c r="B583" s="340" t="s">
        <v>463</v>
      </c>
      <c r="C583" s="374"/>
      <c r="D583" s="384"/>
      <c r="E583" s="815"/>
      <c r="F583" s="384"/>
    </row>
    <row r="584" spans="1:6" ht="15">
      <c r="A584" s="332"/>
      <c r="B584" s="340" t="s">
        <v>464</v>
      </c>
      <c r="C584" s="374"/>
      <c r="D584" s="384"/>
      <c r="E584" s="815"/>
      <c r="F584" s="384"/>
    </row>
    <row r="585" spans="1:6" ht="15">
      <c r="A585" s="332"/>
      <c r="B585" s="340" t="s">
        <v>425</v>
      </c>
      <c r="C585" s="374"/>
      <c r="D585" s="384"/>
      <c r="E585" s="815"/>
      <c r="F585" s="384"/>
    </row>
    <row r="586" spans="1:6" ht="15">
      <c r="A586" s="332"/>
      <c r="B586" s="340" t="s">
        <v>449</v>
      </c>
      <c r="C586" s="374"/>
      <c r="D586" s="384"/>
      <c r="E586" s="815"/>
      <c r="F586" s="384"/>
    </row>
    <row r="587" spans="1:6" ht="15">
      <c r="A587" s="332"/>
      <c r="B587" s="340" t="s">
        <v>427</v>
      </c>
      <c r="C587" s="374"/>
      <c r="D587" s="384"/>
      <c r="E587" s="815"/>
      <c r="F587" s="384"/>
    </row>
    <row r="588" spans="1:6" ht="15">
      <c r="A588" s="332"/>
      <c r="B588" s="340" t="s">
        <v>429</v>
      </c>
      <c r="C588" s="374"/>
      <c r="D588" s="384"/>
      <c r="E588" s="815"/>
      <c r="F588" s="384"/>
    </row>
    <row r="589" spans="1:6" ht="15">
      <c r="A589" s="332"/>
      <c r="B589" s="340" t="s">
        <v>432</v>
      </c>
      <c r="C589" s="374"/>
      <c r="D589" s="384"/>
      <c r="E589" s="815"/>
      <c r="F589" s="384"/>
    </row>
    <row r="590" spans="1:6" ht="15">
      <c r="A590" s="332"/>
      <c r="B590" s="340" t="s">
        <v>421</v>
      </c>
      <c r="C590" s="374"/>
      <c r="D590" s="384"/>
      <c r="E590" s="815"/>
      <c r="F590" s="384"/>
    </row>
    <row r="591" spans="1:6" ht="15">
      <c r="A591" s="333"/>
      <c r="B591" s="341" t="s">
        <v>433</v>
      </c>
      <c r="C591" s="375"/>
      <c r="D591" s="385">
        <v>4</v>
      </c>
      <c r="E591" s="816"/>
      <c r="F591" s="385">
        <f>SUM(E591*D591)</f>
        <v>0</v>
      </c>
    </row>
    <row r="592" spans="1:6" ht="15">
      <c r="A592" s="331"/>
      <c r="B592" s="382" t="s">
        <v>465</v>
      </c>
      <c r="C592" s="373"/>
      <c r="D592" s="383"/>
      <c r="E592" s="814"/>
      <c r="F592" s="383"/>
    </row>
    <row r="593" spans="1:6" ht="15">
      <c r="A593" s="332"/>
      <c r="B593" s="340" t="s">
        <v>466</v>
      </c>
      <c r="C593" s="374"/>
      <c r="D593" s="384"/>
      <c r="E593" s="815"/>
      <c r="F593" s="384"/>
    </row>
    <row r="594" spans="1:6" ht="15">
      <c r="A594" s="332"/>
      <c r="B594" s="340" t="s">
        <v>467</v>
      </c>
      <c r="C594" s="374"/>
      <c r="D594" s="384"/>
      <c r="E594" s="815"/>
      <c r="F594" s="384"/>
    </row>
    <row r="595" spans="1:6" ht="15">
      <c r="A595" s="332"/>
      <c r="B595" s="340" t="s">
        <v>468</v>
      </c>
      <c r="C595" s="374"/>
      <c r="D595" s="384"/>
      <c r="E595" s="815"/>
      <c r="F595" s="384"/>
    </row>
    <row r="596" spans="1:6" ht="15">
      <c r="A596" s="332"/>
      <c r="B596" s="340" t="s">
        <v>425</v>
      </c>
      <c r="C596" s="374"/>
      <c r="D596" s="384"/>
      <c r="E596" s="815"/>
      <c r="F596" s="384"/>
    </row>
    <row r="597" spans="1:6" ht="15">
      <c r="A597" s="332"/>
      <c r="B597" s="340" t="s">
        <v>469</v>
      </c>
      <c r="C597" s="374"/>
      <c r="D597" s="384"/>
      <c r="E597" s="815"/>
      <c r="F597" s="384"/>
    </row>
    <row r="598" spans="1:6" ht="15">
      <c r="A598" s="332"/>
      <c r="B598" s="340" t="s">
        <v>421</v>
      </c>
      <c r="C598" s="374"/>
      <c r="D598" s="384"/>
      <c r="E598" s="815"/>
      <c r="F598" s="384"/>
    </row>
    <row r="599" spans="1:6" ht="15">
      <c r="A599" s="333"/>
      <c r="B599" s="341" t="s">
        <v>433</v>
      </c>
      <c r="C599" s="375"/>
      <c r="D599" s="385">
        <v>4</v>
      </c>
      <c r="E599" s="816"/>
      <c r="F599" s="385">
        <f>SUM(E599*D599)</f>
        <v>0</v>
      </c>
    </row>
    <row r="600" spans="1:6" ht="15">
      <c r="A600" s="331"/>
      <c r="B600" s="382" t="s">
        <v>470</v>
      </c>
      <c r="C600" s="373"/>
      <c r="D600" s="383"/>
      <c r="E600" s="814"/>
      <c r="F600" s="383"/>
    </row>
    <row r="601" spans="1:6" ht="15">
      <c r="A601" s="332"/>
      <c r="B601" s="340" t="s">
        <v>471</v>
      </c>
      <c r="C601" s="374"/>
      <c r="D601" s="384"/>
      <c r="E601" s="815"/>
      <c r="F601" s="384"/>
    </row>
    <row r="602" spans="1:6" ht="15">
      <c r="A602" s="332"/>
      <c r="B602" s="340" t="s">
        <v>472</v>
      </c>
      <c r="C602" s="374"/>
      <c r="D602" s="384"/>
      <c r="E602" s="815"/>
      <c r="F602" s="384"/>
    </row>
    <row r="603" spans="1:6" ht="15">
      <c r="A603" s="332"/>
      <c r="B603" s="340" t="s">
        <v>473</v>
      </c>
      <c r="C603" s="374"/>
      <c r="D603" s="384"/>
      <c r="E603" s="815"/>
      <c r="F603" s="384"/>
    </row>
    <row r="604" spans="1:6" ht="15">
      <c r="A604" s="332"/>
      <c r="B604" s="340" t="s">
        <v>425</v>
      </c>
      <c r="C604" s="374"/>
      <c r="D604" s="384"/>
      <c r="E604" s="815"/>
      <c r="F604" s="384"/>
    </row>
    <row r="605" spans="1:6" ht="15">
      <c r="A605" s="332"/>
      <c r="B605" s="340" t="s">
        <v>469</v>
      </c>
      <c r="C605" s="374"/>
      <c r="D605" s="384"/>
      <c r="E605" s="815"/>
      <c r="F605" s="384"/>
    </row>
    <row r="606" spans="1:6" ht="15">
      <c r="A606" s="332"/>
      <c r="B606" s="340" t="s">
        <v>421</v>
      </c>
      <c r="C606" s="374"/>
      <c r="D606" s="384"/>
      <c r="E606" s="815"/>
      <c r="F606" s="384"/>
    </row>
    <row r="607" spans="1:6" ht="15">
      <c r="A607" s="333"/>
      <c r="B607" s="341" t="s">
        <v>433</v>
      </c>
      <c r="C607" s="375"/>
      <c r="D607" s="385">
        <v>1</v>
      </c>
      <c r="E607" s="816"/>
      <c r="F607" s="385">
        <f>SUM(E607*D607)</f>
        <v>0</v>
      </c>
    </row>
    <row r="608" spans="1:6" ht="15">
      <c r="A608" s="331"/>
      <c r="B608" s="382" t="s">
        <v>474</v>
      </c>
      <c r="C608" s="373"/>
      <c r="D608" s="383"/>
      <c r="E608" s="814"/>
      <c r="F608" s="383"/>
    </row>
    <row r="609" spans="1:6" ht="15">
      <c r="A609" s="332"/>
      <c r="B609" s="340" t="s">
        <v>475</v>
      </c>
      <c r="C609" s="374"/>
      <c r="D609" s="384"/>
      <c r="E609" s="815"/>
      <c r="F609" s="384"/>
    </row>
    <row r="610" spans="1:6" ht="15">
      <c r="A610" s="332"/>
      <c r="B610" s="340" t="s">
        <v>476</v>
      </c>
      <c r="C610" s="374"/>
      <c r="D610" s="384"/>
      <c r="E610" s="815"/>
      <c r="F610" s="384"/>
    </row>
    <row r="611" spans="1:6" ht="15">
      <c r="A611" s="332"/>
      <c r="B611" s="340" t="s">
        <v>477</v>
      </c>
      <c r="C611" s="374"/>
      <c r="D611" s="384"/>
      <c r="E611" s="815"/>
      <c r="F611" s="384"/>
    </row>
    <row r="612" spans="1:6" ht="15">
      <c r="A612" s="332"/>
      <c r="B612" s="340" t="s">
        <v>425</v>
      </c>
      <c r="C612" s="374"/>
      <c r="D612" s="384"/>
      <c r="E612" s="815"/>
      <c r="F612" s="384"/>
    </row>
    <row r="613" spans="1:6" ht="15">
      <c r="A613" s="332"/>
      <c r="B613" s="340" t="s">
        <v>454</v>
      </c>
      <c r="C613" s="374"/>
      <c r="D613" s="384"/>
      <c r="E613" s="815"/>
      <c r="F613" s="384"/>
    </row>
    <row r="614" spans="1:6" ht="15">
      <c r="A614" s="332"/>
      <c r="B614" s="340" t="s">
        <v>445</v>
      </c>
      <c r="C614" s="374"/>
      <c r="D614" s="384"/>
      <c r="E614" s="815"/>
      <c r="F614" s="384"/>
    </row>
    <row r="615" spans="1:6" ht="15">
      <c r="A615" s="332"/>
      <c r="B615" s="340" t="s">
        <v>446</v>
      </c>
      <c r="C615" s="374"/>
      <c r="D615" s="384"/>
      <c r="E615" s="815"/>
      <c r="F615" s="384"/>
    </row>
    <row r="616" spans="1:6" ht="15">
      <c r="A616" s="332"/>
      <c r="B616" s="340" t="s">
        <v>447</v>
      </c>
      <c r="C616" s="374"/>
      <c r="D616" s="384"/>
      <c r="E616" s="815"/>
      <c r="F616" s="384"/>
    </row>
    <row r="617" spans="1:6" ht="15">
      <c r="A617" s="332"/>
      <c r="B617" s="340" t="s">
        <v>448</v>
      </c>
      <c r="C617" s="374"/>
      <c r="D617" s="384"/>
      <c r="E617" s="815"/>
      <c r="F617" s="384"/>
    </row>
    <row r="618" spans="1:6" ht="15">
      <c r="A618" s="332"/>
      <c r="B618" s="340" t="s">
        <v>478</v>
      </c>
      <c r="C618" s="374"/>
      <c r="D618" s="384"/>
      <c r="E618" s="815"/>
      <c r="F618" s="384"/>
    </row>
    <row r="619" spans="1:6" ht="15">
      <c r="A619" s="332"/>
      <c r="B619" s="340" t="s">
        <v>460</v>
      </c>
      <c r="C619" s="374"/>
      <c r="D619" s="384"/>
      <c r="E619" s="815"/>
      <c r="F619" s="384"/>
    </row>
    <row r="620" spans="1:6" ht="15">
      <c r="A620" s="332"/>
      <c r="B620" s="340" t="s">
        <v>426</v>
      </c>
      <c r="C620" s="374"/>
      <c r="D620" s="384"/>
      <c r="E620" s="815"/>
      <c r="F620" s="384"/>
    </row>
    <row r="621" spans="1:6" ht="15">
      <c r="A621" s="332"/>
      <c r="B621" s="340" t="s">
        <v>427</v>
      </c>
      <c r="C621" s="374"/>
      <c r="D621" s="384"/>
      <c r="E621" s="815"/>
      <c r="F621" s="384"/>
    </row>
    <row r="622" spans="1:6" ht="15">
      <c r="A622" s="332"/>
      <c r="B622" s="340" t="s">
        <v>449</v>
      </c>
      <c r="C622" s="374"/>
      <c r="D622" s="384"/>
      <c r="E622" s="815"/>
      <c r="F622" s="384"/>
    </row>
    <row r="623" spans="1:6" ht="15">
      <c r="A623" s="332"/>
      <c r="B623" s="340" t="s">
        <v>427</v>
      </c>
      <c r="C623" s="374"/>
      <c r="D623" s="384"/>
      <c r="E623" s="815"/>
      <c r="F623" s="384"/>
    </row>
    <row r="624" spans="1:6" ht="15">
      <c r="A624" s="332"/>
      <c r="B624" s="340" t="s">
        <v>428</v>
      </c>
      <c r="C624" s="374"/>
      <c r="D624" s="384"/>
      <c r="E624" s="815"/>
      <c r="F624" s="384"/>
    </row>
    <row r="625" spans="1:6" ht="15">
      <c r="A625" s="332"/>
      <c r="B625" s="340" t="s">
        <v>430</v>
      </c>
      <c r="C625" s="374"/>
      <c r="D625" s="384"/>
      <c r="E625" s="815"/>
      <c r="F625" s="384"/>
    </row>
    <row r="626" spans="1:6" ht="15">
      <c r="A626" s="332"/>
      <c r="B626" s="340" t="s">
        <v>431</v>
      </c>
      <c r="C626" s="374"/>
      <c r="D626" s="384"/>
      <c r="E626" s="815"/>
      <c r="F626" s="384"/>
    </row>
    <row r="627" spans="1:6" ht="15">
      <c r="A627" s="332"/>
      <c r="B627" s="340" t="s">
        <v>432</v>
      </c>
      <c r="C627" s="374"/>
      <c r="D627" s="384"/>
      <c r="E627" s="815"/>
      <c r="F627" s="384"/>
    </row>
    <row r="628" spans="1:6" ht="15">
      <c r="A628" s="332"/>
      <c r="B628" s="340" t="s">
        <v>421</v>
      </c>
      <c r="C628" s="374"/>
      <c r="D628" s="384"/>
      <c r="E628" s="815"/>
      <c r="F628" s="384"/>
    </row>
    <row r="629" spans="1:6" ht="15">
      <c r="A629" s="333"/>
      <c r="B629" s="341" t="s">
        <v>433</v>
      </c>
      <c r="C629" s="375"/>
      <c r="D629" s="385">
        <v>8</v>
      </c>
      <c r="E629" s="816"/>
      <c r="F629" s="385">
        <f>SUM(E629*D629)</f>
        <v>0</v>
      </c>
    </row>
    <row r="630" spans="1:6" ht="15">
      <c r="A630" s="331"/>
      <c r="B630" s="382" t="s">
        <v>479</v>
      </c>
      <c r="C630" s="373"/>
      <c r="D630" s="383"/>
      <c r="E630" s="814"/>
      <c r="F630" s="383"/>
    </row>
    <row r="631" spans="1:6" ht="15">
      <c r="A631" s="332"/>
      <c r="B631" s="340" t="s">
        <v>480</v>
      </c>
      <c r="C631" s="374"/>
      <c r="D631" s="384"/>
      <c r="E631" s="815"/>
      <c r="F631" s="384"/>
    </row>
    <row r="632" spans="1:6" ht="15">
      <c r="A632" s="332"/>
      <c r="B632" s="340" t="s">
        <v>481</v>
      </c>
      <c r="C632" s="374"/>
      <c r="D632" s="384"/>
      <c r="E632" s="815"/>
      <c r="F632" s="384"/>
    </row>
    <row r="633" spans="1:6" ht="15">
      <c r="A633" s="332"/>
      <c r="B633" s="340" t="s">
        <v>482</v>
      </c>
      <c r="C633" s="374"/>
      <c r="D633" s="384"/>
      <c r="E633" s="815"/>
      <c r="F633" s="384"/>
    </row>
    <row r="634" spans="1:6" ht="15">
      <c r="A634" s="332"/>
      <c r="B634" s="340" t="s">
        <v>425</v>
      </c>
      <c r="C634" s="374"/>
      <c r="D634" s="384"/>
      <c r="E634" s="815"/>
      <c r="F634" s="384"/>
    </row>
    <row r="635" spans="1:6" ht="15">
      <c r="A635" s="332"/>
      <c r="B635" s="340" t="s">
        <v>454</v>
      </c>
      <c r="C635" s="374"/>
      <c r="D635" s="384"/>
      <c r="E635" s="815"/>
      <c r="F635" s="384"/>
    </row>
    <row r="636" spans="1:6" ht="15">
      <c r="A636" s="332"/>
      <c r="B636" s="340" t="s">
        <v>445</v>
      </c>
      <c r="C636" s="374"/>
      <c r="D636" s="384"/>
      <c r="E636" s="815"/>
      <c r="F636" s="384"/>
    </row>
    <row r="637" spans="1:6" ht="15">
      <c r="A637" s="332"/>
      <c r="B637" s="340" t="s">
        <v>446</v>
      </c>
      <c r="C637" s="374"/>
      <c r="D637" s="384"/>
      <c r="E637" s="815"/>
      <c r="F637" s="384"/>
    </row>
    <row r="638" spans="1:6" ht="15">
      <c r="A638" s="332"/>
      <c r="B638" s="340" t="s">
        <v>447</v>
      </c>
      <c r="C638" s="374"/>
      <c r="D638" s="384"/>
      <c r="E638" s="815"/>
      <c r="F638" s="384"/>
    </row>
    <row r="639" spans="1:6" ht="15">
      <c r="A639" s="332"/>
      <c r="B639" s="340" t="s">
        <v>448</v>
      </c>
      <c r="C639" s="374"/>
      <c r="D639" s="384"/>
      <c r="E639" s="815"/>
      <c r="F639" s="384"/>
    </row>
    <row r="640" spans="1:6" ht="15">
      <c r="A640" s="332"/>
      <c r="B640" s="340" t="s">
        <v>478</v>
      </c>
      <c r="C640" s="374"/>
      <c r="D640" s="384"/>
      <c r="E640" s="815"/>
      <c r="F640" s="384"/>
    </row>
    <row r="641" spans="1:6" ht="15">
      <c r="A641" s="332"/>
      <c r="B641" s="340" t="s">
        <v>460</v>
      </c>
      <c r="C641" s="374"/>
      <c r="D641" s="384"/>
      <c r="E641" s="815"/>
      <c r="F641" s="384"/>
    </row>
    <row r="642" spans="1:6" ht="15">
      <c r="A642" s="332"/>
      <c r="B642" s="340" t="s">
        <v>426</v>
      </c>
      <c r="C642" s="374"/>
      <c r="D642" s="384"/>
      <c r="E642" s="815"/>
      <c r="F642" s="384"/>
    </row>
    <row r="643" spans="1:6" ht="15">
      <c r="A643" s="332"/>
      <c r="B643" s="340" t="s">
        <v>427</v>
      </c>
      <c r="C643" s="374"/>
      <c r="D643" s="384"/>
      <c r="E643" s="815"/>
      <c r="F643" s="384"/>
    </row>
    <row r="644" spans="1:6" ht="15">
      <c r="A644" s="332"/>
      <c r="B644" s="340" t="s">
        <v>428</v>
      </c>
      <c r="C644" s="374"/>
      <c r="D644" s="384"/>
      <c r="E644" s="815"/>
      <c r="F644" s="384"/>
    </row>
    <row r="645" spans="1:6" ht="15">
      <c r="A645" s="332"/>
      <c r="B645" s="340" t="s">
        <v>429</v>
      </c>
      <c r="C645" s="374"/>
      <c r="D645" s="384"/>
      <c r="E645" s="815"/>
      <c r="F645" s="384"/>
    </row>
    <row r="646" spans="1:6" ht="15">
      <c r="A646" s="332"/>
      <c r="B646" s="340" t="s">
        <v>430</v>
      </c>
      <c r="C646" s="374"/>
      <c r="D646" s="384"/>
      <c r="E646" s="815"/>
      <c r="F646" s="384"/>
    </row>
    <row r="647" spans="1:6" ht="15">
      <c r="A647" s="332"/>
      <c r="B647" s="340" t="s">
        <v>438</v>
      </c>
      <c r="C647" s="374"/>
      <c r="D647" s="384"/>
      <c r="E647" s="815"/>
      <c r="F647" s="384"/>
    </row>
    <row r="648" spans="1:6" ht="15">
      <c r="A648" s="332"/>
      <c r="B648" s="340" t="s">
        <v>431</v>
      </c>
      <c r="C648" s="374"/>
      <c r="D648" s="384"/>
      <c r="E648" s="815"/>
      <c r="F648" s="384"/>
    </row>
    <row r="649" spans="1:6" ht="15">
      <c r="A649" s="332"/>
      <c r="B649" s="340" t="s">
        <v>439</v>
      </c>
      <c r="C649" s="374"/>
      <c r="D649" s="384"/>
      <c r="E649" s="815"/>
      <c r="F649" s="384"/>
    </row>
    <row r="650" spans="1:6" ht="15">
      <c r="A650" s="332"/>
      <c r="B650" s="340" t="s">
        <v>432</v>
      </c>
      <c r="C650" s="374"/>
      <c r="D650" s="384"/>
      <c r="E650" s="815"/>
      <c r="F650" s="384"/>
    </row>
    <row r="651" spans="1:6" ht="15">
      <c r="A651" s="332"/>
      <c r="B651" s="340" t="s">
        <v>421</v>
      </c>
      <c r="C651" s="374"/>
      <c r="D651" s="384"/>
      <c r="E651" s="815"/>
      <c r="F651" s="384"/>
    </row>
    <row r="652" spans="1:6" ht="15">
      <c r="A652" s="333"/>
      <c r="B652" s="341" t="s">
        <v>433</v>
      </c>
      <c r="C652" s="375"/>
      <c r="D652" s="385">
        <v>2</v>
      </c>
      <c r="E652" s="816"/>
      <c r="F652" s="385">
        <f>SUM(E652*D652)</f>
        <v>0</v>
      </c>
    </row>
    <row r="653" spans="1:6" ht="15">
      <c r="A653" s="331"/>
      <c r="B653" s="382" t="s">
        <v>483</v>
      </c>
      <c r="C653" s="373"/>
      <c r="D653" s="383"/>
      <c r="E653" s="814"/>
      <c r="F653" s="383"/>
    </row>
    <row r="654" spans="1:6" ht="15">
      <c r="A654" s="333"/>
      <c r="B654" s="341" t="s">
        <v>433</v>
      </c>
      <c r="C654" s="375"/>
      <c r="D654" s="385">
        <v>1</v>
      </c>
      <c r="E654" s="816"/>
      <c r="F654" s="385">
        <f>SUM(E654*D654)</f>
        <v>0</v>
      </c>
    </row>
    <row r="655" spans="1:6" ht="15">
      <c r="A655" s="331"/>
      <c r="B655" s="339" t="s">
        <v>484</v>
      </c>
      <c r="C655" s="373"/>
      <c r="D655" s="383"/>
      <c r="E655" s="814"/>
      <c r="F655" s="383"/>
    </row>
    <row r="656" spans="1:6" ht="15">
      <c r="A656" s="332"/>
      <c r="B656" s="340" t="s">
        <v>421</v>
      </c>
      <c r="C656" s="374"/>
      <c r="D656" s="384"/>
      <c r="E656" s="815"/>
      <c r="F656" s="384"/>
    </row>
    <row r="657" spans="1:6" ht="15">
      <c r="A657" s="333"/>
      <c r="B657" s="341" t="s">
        <v>433</v>
      </c>
      <c r="C657" s="375"/>
      <c r="D657" s="385">
        <v>2</v>
      </c>
      <c r="E657" s="816"/>
      <c r="F657" s="385">
        <f>SUM(E657*D657)</f>
        <v>0</v>
      </c>
    </row>
    <row r="658" spans="1:6" ht="15">
      <c r="A658" s="331"/>
      <c r="B658" s="382" t="s">
        <v>485</v>
      </c>
      <c r="C658" s="373"/>
      <c r="D658" s="383"/>
      <c r="E658" s="814"/>
      <c r="F658" s="383"/>
    </row>
    <row r="659" spans="1:6" ht="15">
      <c r="A659" s="332"/>
      <c r="B659" s="340"/>
      <c r="C659" s="374"/>
      <c r="D659" s="384"/>
      <c r="E659" s="815"/>
      <c r="F659" s="384"/>
    </row>
    <row r="660" spans="1:6" ht="15">
      <c r="A660" s="333"/>
      <c r="B660" s="341" t="s">
        <v>486</v>
      </c>
      <c r="C660" s="375"/>
      <c r="D660" s="385">
        <v>1</v>
      </c>
      <c r="E660" s="816"/>
      <c r="F660" s="385">
        <f>SUM(E660*D660)</f>
        <v>0</v>
      </c>
    </row>
    <row r="661" spans="1:6" ht="15">
      <c r="A661" s="331"/>
      <c r="B661" s="382" t="s">
        <v>487</v>
      </c>
      <c r="C661" s="373"/>
      <c r="D661" s="383"/>
      <c r="E661" s="814"/>
      <c r="F661" s="383"/>
    </row>
    <row r="662" spans="1:6" ht="15">
      <c r="A662" s="333"/>
      <c r="B662" s="341" t="s">
        <v>488</v>
      </c>
      <c r="C662" s="375"/>
      <c r="D662" s="385">
        <v>19</v>
      </c>
      <c r="E662" s="816"/>
      <c r="F662" s="385">
        <f>SUM(E662*D662)</f>
        <v>0</v>
      </c>
    </row>
    <row r="663" spans="1:6" ht="15">
      <c r="A663" s="331"/>
      <c r="B663" s="382" t="s">
        <v>489</v>
      </c>
      <c r="C663" s="373"/>
      <c r="D663" s="383"/>
      <c r="E663" s="814"/>
      <c r="F663" s="383"/>
    </row>
    <row r="664" spans="1:6" ht="15">
      <c r="A664" s="332"/>
      <c r="B664" s="340" t="s">
        <v>490</v>
      </c>
      <c r="C664" s="374"/>
      <c r="D664" s="384"/>
      <c r="E664" s="815"/>
      <c r="F664" s="384"/>
    </row>
    <row r="665" spans="1:6" ht="15">
      <c r="A665" s="332"/>
      <c r="B665" s="340" t="s">
        <v>491</v>
      </c>
      <c r="C665" s="374"/>
      <c r="D665" s="384"/>
      <c r="E665" s="815"/>
      <c r="F665" s="384"/>
    </row>
    <row r="666" spans="1:6" ht="15">
      <c r="A666" s="332"/>
      <c r="B666" s="340"/>
      <c r="C666" s="374"/>
      <c r="D666" s="384"/>
      <c r="E666" s="815"/>
      <c r="F666" s="384"/>
    </row>
    <row r="667" spans="1:6" ht="15">
      <c r="A667" s="333"/>
      <c r="B667" s="341" t="s">
        <v>433</v>
      </c>
      <c r="C667" s="375"/>
      <c r="D667" s="385">
        <v>10</v>
      </c>
      <c r="E667" s="816"/>
      <c r="F667" s="385">
        <f>SUM(E667*D667)</f>
        <v>0</v>
      </c>
    </row>
    <row r="668" spans="1:6" ht="15">
      <c r="A668" s="331"/>
      <c r="B668" s="382" t="s">
        <v>492</v>
      </c>
      <c r="C668" s="373"/>
      <c r="D668" s="383"/>
      <c r="E668" s="814"/>
      <c r="F668" s="383"/>
    </row>
    <row r="669" spans="1:6" ht="15">
      <c r="A669" s="332"/>
      <c r="B669" s="340"/>
      <c r="C669" s="374"/>
      <c r="D669" s="384"/>
      <c r="E669" s="815"/>
      <c r="F669" s="384"/>
    </row>
    <row r="670" spans="1:6" ht="15">
      <c r="A670" s="333"/>
      <c r="B670" s="341" t="s">
        <v>433</v>
      </c>
      <c r="C670" s="375"/>
      <c r="D670" s="385">
        <v>47</v>
      </c>
      <c r="E670" s="816"/>
      <c r="F670" s="385">
        <f>SUM(E670*D670)</f>
        <v>0</v>
      </c>
    </row>
    <row r="671" spans="1:6" ht="15">
      <c r="A671" s="331"/>
      <c r="B671" s="382" t="s">
        <v>493</v>
      </c>
      <c r="C671" s="373"/>
      <c r="D671" s="383"/>
      <c r="E671" s="814"/>
      <c r="F671" s="383"/>
    </row>
    <row r="672" spans="1:6" ht="15">
      <c r="A672" s="332"/>
      <c r="B672" s="340" t="s">
        <v>494</v>
      </c>
      <c r="C672" s="374"/>
      <c r="D672" s="384"/>
      <c r="E672" s="815"/>
      <c r="F672" s="384"/>
    </row>
    <row r="673" spans="1:6" ht="15">
      <c r="A673" s="332"/>
      <c r="B673" s="340" t="s">
        <v>495</v>
      </c>
      <c r="C673" s="374"/>
      <c r="D673" s="384"/>
      <c r="E673" s="815"/>
      <c r="F673" s="384"/>
    </row>
    <row r="674" spans="1:6" ht="15">
      <c r="A674" s="332"/>
      <c r="B674" s="340"/>
      <c r="C674" s="374"/>
      <c r="D674" s="384"/>
      <c r="E674" s="815"/>
      <c r="F674" s="384"/>
    </row>
    <row r="675" spans="1:6" ht="15">
      <c r="A675" s="332"/>
      <c r="B675" s="340" t="s">
        <v>496</v>
      </c>
      <c r="C675" s="374"/>
      <c r="D675" s="384"/>
      <c r="E675" s="815"/>
      <c r="F675" s="384"/>
    </row>
    <row r="676" spans="1:6" ht="15">
      <c r="A676" s="332"/>
      <c r="B676" s="340"/>
      <c r="C676" s="374"/>
      <c r="D676" s="384"/>
      <c r="E676" s="815"/>
      <c r="F676" s="384"/>
    </row>
    <row r="677" spans="1:6" ht="15">
      <c r="A677" s="333"/>
      <c r="B677" s="341" t="s">
        <v>433</v>
      </c>
      <c r="C677" s="375"/>
      <c r="D677" s="385">
        <v>10</v>
      </c>
      <c r="E677" s="816"/>
      <c r="F677" s="385">
        <f>SUM(E677*D677)</f>
        <v>0</v>
      </c>
    </row>
    <row r="678" spans="1:6" ht="15">
      <c r="A678" s="331"/>
      <c r="B678" s="339" t="s">
        <v>497</v>
      </c>
      <c r="C678" s="373"/>
      <c r="D678" s="383"/>
      <c r="E678" s="814"/>
      <c r="F678" s="383"/>
    </row>
    <row r="679" spans="1:6" ht="15">
      <c r="A679" s="332"/>
      <c r="B679" s="340"/>
      <c r="C679" s="374"/>
      <c r="D679" s="384"/>
      <c r="E679" s="815"/>
      <c r="F679" s="384"/>
    </row>
    <row r="680" spans="1:6" ht="15">
      <c r="A680" s="333"/>
      <c r="B680" s="341" t="s">
        <v>433</v>
      </c>
      <c r="C680" s="375"/>
      <c r="D680" s="385">
        <v>26</v>
      </c>
      <c r="E680" s="816"/>
      <c r="F680" s="385">
        <f>SUM(E680*D680)</f>
        <v>0</v>
      </c>
    </row>
    <row r="681" spans="1:6" ht="15">
      <c r="A681" s="331"/>
      <c r="B681" s="382" t="s">
        <v>498</v>
      </c>
      <c r="C681" s="373"/>
      <c r="D681" s="383"/>
      <c r="E681" s="814"/>
      <c r="F681" s="383"/>
    </row>
    <row r="682" spans="1:6" ht="15">
      <c r="A682" s="332"/>
      <c r="B682" s="340" t="s">
        <v>499</v>
      </c>
      <c r="C682" s="374"/>
      <c r="D682" s="384"/>
      <c r="E682" s="815"/>
      <c r="F682" s="384"/>
    </row>
    <row r="683" spans="1:6" ht="15">
      <c r="A683" s="332"/>
      <c r="B683" s="340" t="s">
        <v>500</v>
      </c>
      <c r="C683" s="374"/>
      <c r="D683" s="384"/>
      <c r="E683" s="815"/>
      <c r="F683" s="384"/>
    </row>
    <row r="684" spans="1:6" ht="15">
      <c r="A684" s="333"/>
      <c r="B684" s="341"/>
      <c r="C684" s="375"/>
      <c r="D684" s="385">
        <v>36</v>
      </c>
      <c r="E684" s="816"/>
      <c r="F684" s="385">
        <f>+D684*E684</f>
        <v>0</v>
      </c>
    </row>
    <row r="685" spans="1:6" ht="15">
      <c r="A685" s="331"/>
      <c r="B685" s="382" t="s">
        <v>501</v>
      </c>
      <c r="C685" s="373"/>
      <c r="D685" s="383"/>
      <c r="E685" s="814"/>
      <c r="F685" s="383"/>
    </row>
    <row r="686" spans="1:6" ht="15">
      <c r="A686" s="332"/>
      <c r="B686" s="340" t="s">
        <v>502</v>
      </c>
      <c r="C686" s="374"/>
      <c r="D686" s="384"/>
      <c r="E686" s="815"/>
      <c r="F686" s="384"/>
    </row>
    <row r="687" spans="1:6" ht="15">
      <c r="A687" s="332"/>
      <c r="B687" s="340"/>
      <c r="C687" s="374"/>
      <c r="D687" s="384"/>
      <c r="E687" s="815"/>
      <c r="F687" s="384"/>
    </row>
    <row r="688" spans="1:6" ht="15">
      <c r="A688" s="333"/>
      <c r="B688" s="341" t="s">
        <v>433</v>
      </c>
      <c r="C688" s="375"/>
      <c r="D688" s="385">
        <v>7</v>
      </c>
      <c r="E688" s="816"/>
      <c r="F688" s="385">
        <f>SUM(E688*D688)</f>
        <v>0</v>
      </c>
    </row>
    <row r="689" spans="1:6" ht="15">
      <c r="A689" s="331"/>
      <c r="B689" s="382" t="s">
        <v>503</v>
      </c>
      <c r="C689" s="373"/>
      <c r="D689" s="383"/>
      <c r="E689" s="814"/>
      <c r="F689" s="383"/>
    </row>
    <row r="690" spans="1:6" ht="15">
      <c r="A690" s="332"/>
      <c r="B690" s="340" t="s">
        <v>421</v>
      </c>
      <c r="C690" s="374"/>
      <c r="D690" s="384"/>
      <c r="E690" s="815"/>
      <c r="F690" s="384"/>
    </row>
    <row r="691" spans="1:6" ht="15">
      <c r="A691" s="332"/>
      <c r="B691" s="340" t="s">
        <v>422</v>
      </c>
      <c r="C691" s="374"/>
      <c r="D691" s="384"/>
      <c r="E691" s="815"/>
      <c r="F691" s="384"/>
    </row>
    <row r="692" spans="1:6" ht="15">
      <c r="A692" s="332"/>
      <c r="B692" s="340" t="s">
        <v>424</v>
      </c>
      <c r="C692" s="374"/>
      <c r="D692" s="384"/>
      <c r="E692" s="815"/>
      <c r="F692" s="384"/>
    </row>
    <row r="693" spans="1:6" ht="15">
      <c r="A693" s="332"/>
      <c r="B693" s="340" t="s">
        <v>421</v>
      </c>
      <c r="C693" s="374"/>
      <c r="D693" s="384"/>
      <c r="E693" s="815"/>
      <c r="F693" s="384"/>
    </row>
    <row r="694" spans="1:6" ht="15">
      <c r="A694" s="333"/>
      <c r="B694" s="341" t="s">
        <v>433</v>
      </c>
      <c r="C694" s="375"/>
      <c r="D694" s="385">
        <v>8</v>
      </c>
      <c r="E694" s="816"/>
      <c r="F694" s="385">
        <f>SUM(E694*D694)</f>
        <v>0</v>
      </c>
    </row>
    <row r="695" spans="1:6" ht="15">
      <c r="A695" s="331"/>
      <c r="B695" s="339" t="s">
        <v>435</v>
      </c>
      <c r="C695" s="373"/>
      <c r="D695" s="383"/>
      <c r="E695" s="814"/>
      <c r="F695" s="383"/>
    </row>
    <row r="696" spans="1:6" ht="15">
      <c r="A696" s="332"/>
      <c r="B696" s="340" t="s">
        <v>437</v>
      </c>
      <c r="C696" s="374"/>
      <c r="D696" s="384"/>
      <c r="E696" s="815"/>
      <c r="F696" s="384"/>
    </row>
    <row r="697" spans="1:6" ht="15">
      <c r="A697" s="332"/>
      <c r="B697" s="340" t="s">
        <v>421</v>
      </c>
      <c r="C697" s="374"/>
      <c r="D697" s="384"/>
      <c r="E697" s="815"/>
      <c r="F697" s="384"/>
    </row>
    <row r="698" spans="1:6" ht="15">
      <c r="A698" s="333"/>
      <c r="B698" s="341" t="s">
        <v>433</v>
      </c>
      <c r="C698" s="375"/>
      <c r="D698" s="385">
        <v>2</v>
      </c>
      <c r="E698" s="816"/>
      <c r="F698" s="385">
        <f>SUM(E698*D698)</f>
        <v>0</v>
      </c>
    </row>
    <row r="699" spans="1:6" ht="15">
      <c r="A699" s="331"/>
      <c r="B699" s="339" t="s">
        <v>441</v>
      </c>
      <c r="C699" s="373"/>
      <c r="D699" s="383"/>
      <c r="E699" s="814"/>
      <c r="F699" s="383"/>
    </row>
    <row r="700" spans="1:6" ht="15">
      <c r="A700" s="332"/>
      <c r="B700" s="340" t="s">
        <v>443</v>
      </c>
      <c r="C700" s="374"/>
      <c r="D700" s="384"/>
      <c r="E700" s="815"/>
      <c r="F700" s="384"/>
    </row>
    <row r="701" spans="1:6" ht="15">
      <c r="A701" s="332"/>
      <c r="B701" s="340" t="s">
        <v>421</v>
      </c>
      <c r="C701" s="374"/>
      <c r="D701" s="384"/>
      <c r="E701" s="815"/>
      <c r="F701" s="384"/>
    </row>
    <row r="702" spans="1:6" ht="15">
      <c r="A702" s="333"/>
      <c r="B702" s="341" t="s">
        <v>433</v>
      </c>
      <c r="C702" s="375"/>
      <c r="D702" s="385">
        <v>4</v>
      </c>
      <c r="E702" s="816"/>
      <c r="F702" s="385">
        <f>SUM(E702*D702)</f>
        <v>0</v>
      </c>
    </row>
    <row r="703" spans="1:6" ht="15">
      <c r="A703" s="331"/>
      <c r="B703" s="339" t="s">
        <v>451</v>
      </c>
      <c r="C703" s="373"/>
      <c r="D703" s="383"/>
      <c r="E703" s="814"/>
      <c r="F703" s="383"/>
    </row>
    <row r="704" spans="1:6" ht="15">
      <c r="A704" s="332"/>
      <c r="B704" s="340" t="s">
        <v>453</v>
      </c>
      <c r="C704" s="374"/>
      <c r="D704" s="384"/>
      <c r="E704" s="815"/>
      <c r="F704" s="384"/>
    </row>
    <row r="705" spans="1:6" ht="15">
      <c r="A705" s="332"/>
      <c r="B705" s="340" t="s">
        <v>421</v>
      </c>
      <c r="C705" s="374"/>
      <c r="D705" s="384"/>
      <c r="E705" s="815"/>
      <c r="F705" s="384"/>
    </row>
    <row r="706" spans="1:6" ht="15">
      <c r="A706" s="333"/>
      <c r="B706" s="341" t="s">
        <v>433</v>
      </c>
      <c r="C706" s="375"/>
      <c r="D706" s="385">
        <v>1</v>
      </c>
      <c r="E706" s="816"/>
      <c r="F706" s="385">
        <f>SUM(E706*D706)</f>
        <v>0</v>
      </c>
    </row>
    <row r="707" spans="1:6" ht="15">
      <c r="A707" s="331"/>
      <c r="B707" s="339" t="s">
        <v>456</v>
      </c>
      <c r="C707" s="373"/>
      <c r="D707" s="383"/>
      <c r="E707" s="814"/>
      <c r="F707" s="383"/>
    </row>
    <row r="708" spans="1:6" ht="15">
      <c r="A708" s="332"/>
      <c r="B708" s="340" t="s">
        <v>458</v>
      </c>
      <c r="C708" s="374"/>
      <c r="D708" s="384"/>
      <c r="E708" s="815"/>
      <c r="F708" s="384"/>
    </row>
    <row r="709" spans="1:6" ht="15">
      <c r="A709" s="332"/>
      <c r="B709" s="340" t="s">
        <v>421</v>
      </c>
      <c r="C709" s="374"/>
      <c r="D709" s="384"/>
      <c r="E709" s="815"/>
      <c r="F709" s="384"/>
    </row>
    <row r="710" spans="1:6" ht="15">
      <c r="A710" s="333"/>
      <c r="B710" s="341" t="s">
        <v>433</v>
      </c>
      <c r="C710" s="375"/>
      <c r="D710" s="385">
        <v>16</v>
      </c>
      <c r="E710" s="816"/>
      <c r="F710" s="385">
        <f>SUM(E710*16)</f>
        <v>0</v>
      </c>
    </row>
    <row r="711" spans="1:6" ht="15">
      <c r="A711" s="331"/>
      <c r="B711" s="339" t="s">
        <v>462</v>
      </c>
      <c r="C711" s="373"/>
      <c r="D711" s="383"/>
      <c r="E711" s="814"/>
      <c r="F711" s="383"/>
    </row>
    <row r="712" spans="1:6" ht="15">
      <c r="A712" s="332"/>
      <c r="B712" s="340" t="s">
        <v>464</v>
      </c>
      <c r="C712" s="374"/>
      <c r="D712" s="384"/>
      <c r="E712" s="815"/>
      <c r="F712" s="384"/>
    </row>
    <row r="713" spans="1:6" ht="15">
      <c r="A713" s="332"/>
      <c r="B713" s="340" t="s">
        <v>421</v>
      </c>
      <c r="C713" s="374"/>
      <c r="D713" s="384"/>
      <c r="E713" s="815"/>
      <c r="F713" s="384"/>
    </row>
    <row r="714" spans="1:6" ht="15">
      <c r="A714" s="333"/>
      <c r="B714" s="341" t="s">
        <v>433</v>
      </c>
      <c r="C714" s="375"/>
      <c r="D714" s="385">
        <v>4</v>
      </c>
      <c r="E714" s="816"/>
      <c r="F714" s="385">
        <f>SUM(E714*D714)</f>
        <v>0</v>
      </c>
    </row>
    <row r="715" spans="1:6" ht="15">
      <c r="A715" s="331"/>
      <c r="B715" s="339" t="s">
        <v>466</v>
      </c>
      <c r="C715" s="373"/>
      <c r="D715" s="383"/>
      <c r="E715" s="814"/>
      <c r="F715" s="383"/>
    </row>
    <row r="716" spans="1:6" ht="15">
      <c r="A716" s="332"/>
      <c r="B716" s="340" t="s">
        <v>468</v>
      </c>
      <c r="C716" s="374"/>
      <c r="D716" s="384"/>
      <c r="E716" s="815"/>
      <c r="F716" s="384"/>
    </row>
    <row r="717" spans="1:6" ht="15">
      <c r="A717" s="332"/>
      <c r="B717" s="340" t="s">
        <v>421</v>
      </c>
      <c r="C717" s="374"/>
      <c r="D717" s="384"/>
      <c r="E717" s="815"/>
      <c r="F717" s="384"/>
    </row>
    <row r="718" spans="1:6" ht="15">
      <c r="A718" s="333"/>
      <c r="B718" s="341" t="s">
        <v>433</v>
      </c>
      <c r="C718" s="375"/>
      <c r="D718" s="385">
        <v>4</v>
      </c>
      <c r="E718" s="816"/>
      <c r="F718" s="385">
        <f>SUM(E718*D718)</f>
        <v>0</v>
      </c>
    </row>
    <row r="719" spans="1:6" ht="15">
      <c r="A719" s="331"/>
      <c r="B719" s="339" t="s">
        <v>471</v>
      </c>
      <c r="C719" s="373"/>
      <c r="D719" s="383"/>
      <c r="E719" s="814"/>
      <c r="F719" s="383"/>
    </row>
    <row r="720" spans="1:6" ht="15">
      <c r="A720" s="332"/>
      <c r="B720" s="340" t="s">
        <v>473</v>
      </c>
      <c r="C720" s="374"/>
      <c r="D720" s="384"/>
      <c r="E720" s="815"/>
      <c r="F720" s="384"/>
    </row>
    <row r="721" spans="1:6" ht="15">
      <c r="A721" s="332"/>
      <c r="B721" s="340" t="s">
        <v>421</v>
      </c>
      <c r="C721" s="374"/>
      <c r="D721" s="384"/>
      <c r="E721" s="815"/>
      <c r="F721" s="384"/>
    </row>
    <row r="722" spans="1:6" ht="15">
      <c r="A722" s="333"/>
      <c r="B722" s="341" t="s">
        <v>433</v>
      </c>
      <c r="C722" s="375"/>
      <c r="D722" s="385">
        <v>1</v>
      </c>
      <c r="E722" s="816"/>
      <c r="F722" s="385">
        <f>SUM(E722*D722)</f>
        <v>0</v>
      </c>
    </row>
    <row r="723" spans="1:6" ht="15">
      <c r="A723" s="331"/>
      <c r="B723" s="339" t="s">
        <v>475</v>
      </c>
      <c r="C723" s="373"/>
      <c r="D723" s="383"/>
      <c r="E723" s="814"/>
      <c r="F723" s="383"/>
    </row>
    <row r="724" spans="1:6" ht="15">
      <c r="A724" s="332"/>
      <c r="B724" s="340" t="s">
        <v>477</v>
      </c>
      <c r="C724" s="374"/>
      <c r="D724" s="384"/>
      <c r="E724" s="815"/>
      <c r="F724" s="384"/>
    </row>
    <row r="725" spans="1:6" ht="15">
      <c r="A725" s="332"/>
      <c r="B725" s="340" t="s">
        <v>421</v>
      </c>
      <c r="C725" s="374"/>
      <c r="D725" s="384"/>
      <c r="E725" s="815"/>
      <c r="F725" s="384"/>
    </row>
    <row r="726" spans="1:6" ht="15">
      <c r="A726" s="333"/>
      <c r="B726" s="341" t="s">
        <v>433</v>
      </c>
      <c r="C726" s="375"/>
      <c r="D726" s="385">
        <v>8</v>
      </c>
      <c r="E726" s="816"/>
      <c r="F726" s="385">
        <f>SUM(E726*D726)</f>
        <v>0</v>
      </c>
    </row>
    <row r="727" spans="1:6" ht="15">
      <c r="A727" s="331"/>
      <c r="B727" s="339" t="s">
        <v>480</v>
      </c>
      <c r="C727" s="373"/>
      <c r="D727" s="383"/>
      <c r="E727" s="814"/>
      <c r="F727" s="383"/>
    </row>
    <row r="728" spans="1:6" ht="15">
      <c r="A728" s="332"/>
      <c r="B728" s="340" t="s">
        <v>482</v>
      </c>
      <c r="C728" s="374"/>
      <c r="D728" s="384"/>
      <c r="E728" s="815"/>
      <c r="F728" s="384"/>
    </row>
    <row r="729" spans="1:6" ht="15">
      <c r="A729" s="332"/>
      <c r="B729" s="340" t="s">
        <v>421</v>
      </c>
      <c r="C729" s="374"/>
      <c r="D729" s="384"/>
      <c r="E729" s="815"/>
      <c r="F729" s="384"/>
    </row>
    <row r="730" spans="1:6" ht="15">
      <c r="A730" s="333"/>
      <c r="B730" s="341" t="s">
        <v>433</v>
      </c>
      <c r="C730" s="375"/>
      <c r="D730" s="385">
        <v>2</v>
      </c>
      <c r="E730" s="816"/>
      <c r="F730" s="385">
        <f>SUM(E730*D730)</f>
        <v>0</v>
      </c>
    </row>
    <row r="731" spans="1:6" ht="15">
      <c r="A731" s="331"/>
      <c r="B731" s="339" t="s">
        <v>504</v>
      </c>
      <c r="C731" s="373"/>
      <c r="D731" s="383"/>
      <c r="E731" s="814"/>
      <c r="F731" s="383"/>
    </row>
    <row r="732" spans="1:6" ht="15">
      <c r="A732" s="332"/>
      <c r="B732" s="340" t="s">
        <v>421</v>
      </c>
      <c r="C732" s="374"/>
      <c r="D732" s="384"/>
      <c r="E732" s="815"/>
      <c r="F732" s="384"/>
    </row>
    <row r="733" spans="1:6" ht="15">
      <c r="A733" s="332"/>
      <c r="B733" s="340" t="s">
        <v>505</v>
      </c>
      <c r="C733" s="374"/>
      <c r="D733" s="384"/>
      <c r="E733" s="815"/>
      <c r="F733" s="384"/>
    </row>
    <row r="734" spans="1:6" ht="15">
      <c r="A734" s="332"/>
      <c r="B734" s="340" t="s">
        <v>437</v>
      </c>
      <c r="C734" s="374"/>
      <c r="D734" s="384"/>
      <c r="E734" s="815"/>
      <c r="F734" s="384"/>
    </row>
    <row r="735" spans="1:6" ht="15">
      <c r="A735" s="332"/>
      <c r="B735" s="340" t="s">
        <v>421</v>
      </c>
      <c r="C735" s="374"/>
      <c r="D735" s="384"/>
      <c r="E735" s="815"/>
      <c r="F735" s="384"/>
    </row>
    <row r="736" spans="1:6" ht="15">
      <c r="A736" s="333"/>
      <c r="B736" s="341" t="s">
        <v>433</v>
      </c>
      <c r="C736" s="375"/>
      <c r="D736" s="385">
        <v>2</v>
      </c>
      <c r="E736" s="816"/>
      <c r="F736" s="385">
        <f>SUM(E736*D736)</f>
        <v>0</v>
      </c>
    </row>
    <row r="737" spans="1:6" ht="15">
      <c r="A737" s="331"/>
      <c r="B737" s="339" t="s">
        <v>506</v>
      </c>
      <c r="C737" s="373"/>
      <c r="D737" s="383"/>
      <c r="E737" s="814"/>
      <c r="F737" s="383"/>
    </row>
    <row r="738" spans="1:6" ht="15">
      <c r="A738" s="332"/>
      <c r="B738" s="340" t="s">
        <v>453</v>
      </c>
      <c r="C738" s="374"/>
      <c r="D738" s="384"/>
      <c r="E738" s="815"/>
      <c r="F738" s="384"/>
    </row>
    <row r="739" spans="1:6" ht="15">
      <c r="A739" s="332"/>
      <c r="B739" s="340" t="s">
        <v>421</v>
      </c>
      <c r="C739" s="374"/>
      <c r="D739" s="384"/>
      <c r="E739" s="815"/>
      <c r="F739" s="384"/>
    </row>
    <row r="740" spans="1:6" ht="15">
      <c r="A740" s="333"/>
      <c r="B740" s="341" t="s">
        <v>433</v>
      </c>
      <c r="C740" s="375"/>
      <c r="D740" s="385">
        <v>1</v>
      </c>
      <c r="E740" s="816"/>
      <c r="F740" s="385">
        <f>SUM(E740*D740)</f>
        <v>0</v>
      </c>
    </row>
    <row r="741" spans="1:6" ht="15">
      <c r="A741" s="332"/>
      <c r="B741" s="340" t="s">
        <v>464</v>
      </c>
      <c r="C741" s="374"/>
      <c r="D741" s="384"/>
      <c r="E741" s="815"/>
      <c r="F741" s="384"/>
    </row>
    <row r="742" spans="1:6" ht="15">
      <c r="A742" s="332"/>
      <c r="B742" s="340" t="s">
        <v>421</v>
      </c>
      <c r="C742" s="374"/>
      <c r="D742" s="384"/>
      <c r="E742" s="815"/>
      <c r="F742" s="384"/>
    </row>
    <row r="743" spans="1:6" ht="15">
      <c r="A743" s="333"/>
      <c r="B743" s="341" t="s">
        <v>433</v>
      </c>
      <c r="C743" s="375"/>
      <c r="D743" s="385">
        <v>4</v>
      </c>
      <c r="E743" s="816"/>
      <c r="F743" s="385">
        <f>SUM(E743*D743)</f>
        <v>0</v>
      </c>
    </row>
    <row r="744" spans="1:6" ht="15">
      <c r="A744" s="331"/>
      <c r="B744" s="339" t="s">
        <v>507</v>
      </c>
      <c r="C744" s="373"/>
      <c r="D744" s="383"/>
      <c r="E744" s="814"/>
      <c r="F744" s="383"/>
    </row>
    <row r="745" spans="1:6" ht="15">
      <c r="A745" s="332"/>
      <c r="B745" s="340" t="s">
        <v>421</v>
      </c>
      <c r="C745" s="374"/>
      <c r="D745" s="384"/>
      <c r="E745" s="815"/>
      <c r="F745" s="384"/>
    </row>
    <row r="746" spans="1:6" ht="15">
      <c r="A746" s="333"/>
      <c r="B746" s="341" t="s">
        <v>433</v>
      </c>
      <c r="C746" s="375"/>
      <c r="D746" s="385">
        <v>2</v>
      </c>
      <c r="E746" s="816"/>
      <c r="F746" s="385">
        <f>SUM(E746*D746)</f>
        <v>0</v>
      </c>
    </row>
    <row r="747" spans="1:6" ht="15">
      <c r="A747" s="331"/>
      <c r="B747" s="339" t="s">
        <v>508</v>
      </c>
      <c r="C747" s="373"/>
      <c r="D747" s="383"/>
      <c r="E747" s="814"/>
      <c r="F747" s="383"/>
    </row>
    <row r="748" spans="1:6" ht="15">
      <c r="A748" s="332"/>
      <c r="B748" s="340" t="s">
        <v>421</v>
      </c>
      <c r="C748" s="374"/>
      <c r="D748" s="384"/>
      <c r="E748" s="815"/>
      <c r="F748" s="384"/>
    </row>
    <row r="749" spans="1:6" ht="15">
      <c r="A749" s="333"/>
      <c r="B749" s="341" t="s">
        <v>433</v>
      </c>
      <c r="C749" s="375"/>
      <c r="D749" s="385">
        <v>1</v>
      </c>
      <c r="E749" s="816"/>
      <c r="F749" s="385">
        <f>SUM(E749*D749)</f>
        <v>0</v>
      </c>
    </row>
    <row r="750" spans="1:6" ht="15">
      <c r="A750" s="331"/>
      <c r="B750" s="339" t="s">
        <v>509</v>
      </c>
      <c r="C750" s="373"/>
      <c r="D750" s="383"/>
      <c r="E750" s="814"/>
      <c r="F750" s="383"/>
    </row>
    <row r="751" spans="1:6" ht="15">
      <c r="A751" s="333"/>
      <c r="B751" s="341" t="s">
        <v>421</v>
      </c>
      <c r="C751" s="375" t="s">
        <v>748</v>
      </c>
      <c r="D751" s="385">
        <v>1</v>
      </c>
      <c r="E751" s="816"/>
      <c r="F751" s="385">
        <f>+D751*E751</f>
        <v>0</v>
      </c>
    </row>
    <row r="752" spans="1:6" ht="15">
      <c r="A752" s="331"/>
      <c r="B752" s="339" t="s">
        <v>510</v>
      </c>
      <c r="C752" s="373"/>
      <c r="D752" s="383"/>
      <c r="E752" s="814"/>
      <c r="F752" s="383"/>
    </row>
    <row r="753" spans="1:6" ht="15">
      <c r="A753" s="333"/>
      <c r="B753" s="341" t="s">
        <v>421</v>
      </c>
      <c r="C753" s="375" t="s">
        <v>748</v>
      </c>
      <c r="D753" s="385">
        <v>1</v>
      </c>
      <c r="E753" s="816"/>
      <c r="F753" s="385">
        <f>+D753*E753</f>
        <v>0</v>
      </c>
    </row>
    <row r="754" spans="1:6" ht="15">
      <c r="A754" s="331"/>
      <c r="B754" s="339" t="s">
        <v>511</v>
      </c>
      <c r="C754" s="373"/>
      <c r="D754" s="383"/>
      <c r="E754" s="814"/>
      <c r="F754" s="383"/>
    </row>
    <row r="755" spans="1:6" ht="15">
      <c r="A755" s="333"/>
      <c r="B755" s="341" t="s">
        <v>421</v>
      </c>
      <c r="C755" s="375" t="s">
        <v>748</v>
      </c>
      <c r="D755" s="385">
        <v>1</v>
      </c>
      <c r="E755" s="816"/>
      <c r="F755" s="385">
        <f>+D755*E755</f>
        <v>0</v>
      </c>
    </row>
    <row r="756" spans="1:6" ht="15">
      <c r="A756" s="331"/>
      <c r="B756" s="339" t="s">
        <v>512</v>
      </c>
      <c r="C756" s="373"/>
      <c r="D756" s="383"/>
      <c r="E756" s="814"/>
      <c r="F756" s="383"/>
    </row>
    <row r="757" spans="1:6" ht="15">
      <c r="A757" s="333"/>
      <c r="B757" s="341" t="s">
        <v>421</v>
      </c>
      <c r="C757" s="375" t="s">
        <v>748</v>
      </c>
      <c r="D757" s="385">
        <v>1</v>
      </c>
      <c r="E757" s="816"/>
      <c r="F757" s="385">
        <f>+D757*E757</f>
        <v>0</v>
      </c>
    </row>
    <row r="758" spans="1:6" ht="15">
      <c r="A758" s="331"/>
      <c r="B758" s="339" t="s">
        <v>513</v>
      </c>
      <c r="C758" s="373"/>
      <c r="D758" s="383"/>
      <c r="E758" s="814"/>
      <c r="F758" s="383"/>
    </row>
    <row r="759" spans="1:6" ht="15">
      <c r="A759" s="332"/>
      <c r="B759" s="340" t="s">
        <v>421</v>
      </c>
      <c r="C759" s="374"/>
      <c r="D759" s="384"/>
      <c r="E759" s="815"/>
      <c r="F759" s="384"/>
    </row>
    <row r="760" spans="1:6" ht="15">
      <c r="A760" s="333"/>
      <c r="B760" s="341"/>
      <c r="C760" s="375" t="s">
        <v>183</v>
      </c>
      <c r="D760" s="385">
        <v>50</v>
      </c>
      <c r="E760" s="816"/>
      <c r="F760" s="385">
        <f>+D760*E760</f>
        <v>0</v>
      </c>
    </row>
    <row r="761" spans="1:6" ht="15">
      <c r="A761" s="328"/>
      <c r="B761" s="227"/>
      <c r="C761" s="294"/>
      <c r="D761" s="41"/>
      <c r="E761" s="796"/>
      <c r="F761" s="162"/>
    </row>
    <row r="762" spans="1:6" ht="15">
      <c r="A762" s="330"/>
      <c r="B762" s="203" t="s">
        <v>417</v>
      </c>
      <c r="C762" s="361"/>
      <c r="D762" s="204"/>
      <c r="E762" s="813"/>
      <c r="F762" s="205">
        <f>SUM(F496:F761)</f>
        <v>0</v>
      </c>
    </row>
    <row r="763" spans="1:6" ht="15">
      <c r="A763" s="23"/>
      <c r="B763" s="43"/>
      <c r="C763" s="346"/>
      <c r="D763" s="101"/>
      <c r="E763" s="752"/>
      <c r="F763" s="102"/>
    </row>
    <row r="764" spans="1:6" ht="15">
      <c r="A764" s="23"/>
      <c r="B764" s="43"/>
      <c r="C764" s="346"/>
      <c r="D764" s="101"/>
      <c r="E764" s="752"/>
      <c r="F764" s="102"/>
    </row>
    <row r="765" spans="1:6" ht="18.75">
      <c r="A765" s="389" t="s">
        <v>77</v>
      </c>
      <c r="B765" s="75" t="s">
        <v>88</v>
      </c>
      <c r="C765" s="362"/>
      <c r="D765" s="159"/>
      <c r="E765" s="817"/>
      <c r="F765" s="160"/>
    </row>
    <row r="766" spans="1:6" ht="15.75">
      <c r="A766" s="405" t="s">
        <v>87</v>
      </c>
      <c r="B766" s="6" t="s">
        <v>401</v>
      </c>
      <c r="C766" s="209"/>
      <c r="D766" s="209"/>
      <c r="E766" s="811"/>
      <c r="F766" s="200"/>
    </row>
    <row r="767" spans="1:6" ht="15">
      <c r="A767" s="335"/>
      <c r="B767" s="210" t="s">
        <v>30</v>
      </c>
      <c r="C767" s="377"/>
      <c r="D767" s="211"/>
      <c r="E767" s="796"/>
      <c r="F767" s="212"/>
    </row>
    <row r="768" spans="1:6" ht="15">
      <c r="A768" s="52" t="s">
        <v>25</v>
      </c>
      <c r="B768" s="40" t="s">
        <v>31</v>
      </c>
      <c r="C768" s="297"/>
      <c r="D768" s="197"/>
      <c r="E768" s="802"/>
      <c r="F768" s="198"/>
    </row>
    <row r="769" spans="1:6" ht="15">
      <c r="A769" s="52" t="s">
        <v>26</v>
      </c>
      <c r="B769" s="40" t="s">
        <v>155</v>
      </c>
      <c r="C769" s="297"/>
      <c r="D769" s="197"/>
      <c r="E769" s="802"/>
      <c r="F769" s="198"/>
    </row>
    <row r="770" spans="1:6" ht="15">
      <c r="A770" s="52" t="s">
        <v>27</v>
      </c>
      <c r="B770" s="40" t="s">
        <v>103</v>
      </c>
      <c r="C770" s="297"/>
      <c r="D770" s="197"/>
      <c r="E770" s="802"/>
      <c r="F770" s="198"/>
    </row>
    <row r="771" spans="1:6" ht="22.5">
      <c r="A771" s="52" t="s">
        <v>1</v>
      </c>
      <c r="B771" s="40" t="s">
        <v>104</v>
      </c>
      <c r="C771" s="297"/>
      <c r="D771" s="197"/>
      <c r="E771" s="802"/>
      <c r="F771" s="198"/>
    </row>
    <row r="772" spans="1:6" ht="22.5">
      <c r="A772" s="52" t="s">
        <v>2</v>
      </c>
      <c r="B772" s="40" t="s">
        <v>105</v>
      </c>
      <c r="C772" s="297"/>
      <c r="D772" s="197"/>
      <c r="E772" s="802"/>
      <c r="F772" s="198"/>
    </row>
    <row r="773" spans="1:6" ht="15">
      <c r="A773" s="52" t="s">
        <v>3</v>
      </c>
      <c r="B773" s="40" t="s">
        <v>106</v>
      </c>
      <c r="C773" s="297"/>
      <c r="D773" s="197"/>
      <c r="E773" s="802"/>
      <c r="F773" s="198"/>
    </row>
    <row r="774" spans="1:6" ht="15">
      <c r="A774" s="52" t="s">
        <v>4</v>
      </c>
      <c r="B774" s="40" t="s">
        <v>107</v>
      </c>
      <c r="C774" s="297"/>
      <c r="D774" s="197"/>
      <c r="E774" s="802"/>
      <c r="F774" s="198"/>
    </row>
    <row r="775" spans="1:6" ht="15">
      <c r="A775" s="52" t="s">
        <v>5</v>
      </c>
      <c r="B775" s="40" t="s">
        <v>108</v>
      </c>
      <c r="C775" s="297"/>
      <c r="D775" s="197"/>
      <c r="E775" s="802"/>
      <c r="F775" s="198"/>
    </row>
    <row r="776" spans="1:6" ht="22.5">
      <c r="A776" s="52" t="s">
        <v>8</v>
      </c>
      <c r="B776" s="40" t="s">
        <v>109</v>
      </c>
      <c r="C776" s="297"/>
      <c r="D776" s="197"/>
      <c r="E776" s="802"/>
      <c r="F776" s="198"/>
    </row>
    <row r="777" spans="1:6" ht="15">
      <c r="A777" s="52" t="s">
        <v>10</v>
      </c>
      <c r="B777" s="40" t="s">
        <v>110</v>
      </c>
      <c r="C777" s="297"/>
      <c r="D777" s="197"/>
      <c r="E777" s="802"/>
      <c r="F777" s="198"/>
    </row>
    <row r="778" spans="1:6" ht="15">
      <c r="A778" s="52" t="s">
        <v>11</v>
      </c>
      <c r="B778" s="40" t="s">
        <v>408</v>
      </c>
      <c r="C778" s="297"/>
      <c r="D778" s="197"/>
      <c r="E778" s="802"/>
      <c r="F778" s="198"/>
    </row>
    <row r="779" spans="1:6" ht="296.25" customHeight="1">
      <c r="A779" s="52"/>
      <c r="B779" s="60" t="s">
        <v>1178</v>
      </c>
      <c r="C779" s="297"/>
      <c r="D779" s="197"/>
      <c r="E779" s="802"/>
      <c r="F779" s="198"/>
    </row>
    <row r="780" spans="1:6" ht="22.5">
      <c r="A780" s="261" t="s">
        <v>28</v>
      </c>
      <c r="B780" s="38" t="s">
        <v>43</v>
      </c>
      <c r="C780" s="297"/>
      <c r="D780" s="197"/>
      <c r="E780" s="818"/>
      <c r="F780" s="198"/>
    </row>
    <row r="781" spans="1:6" ht="15">
      <c r="A781" s="52"/>
      <c r="B781" s="240"/>
      <c r="C781" s="297"/>
      <c r="D781" s="292"/>
      <c r="E781" s="812"/>
      <c r="F781" s="299"/>
    </row>
    <row r="782" spans="1:6" ht="155.25" customHeight="1">
      <c r="A782" s="52" t="s">
        <v>1016</v>
      </c>
      <c r="B782" s="240" t="s">
        <v>1017</v>
      </c>
      <c r="C782" s="297" t="s">
        <v>1072</v>
      </c>
      <c r="D782" s="292">
        <f>+(2.22+0.15+0.25+0.12+0.05)*2.25</f>
        <v>6.2775</v>
      </c>
      <c r="E782" s="819"/>
      <c r="F782" s="299">
        <f aca="true" t="shared" si="11" ref="F782:F791">+D782*E782</f>
        <v>0</v>
      </c>
    </row>
    <row r="783" spans="1:6" ht="60">
      <c r="A783" s="52" t="s">
        <v>1018</v>
      </c>
      <c r="B783" s="240" t="s">
        <v>1019</v>
      </c>
      <c r="C783" s="297" t="s">
        <v>1218</v>
      </c>
      <c r="D783" s="292">
        <f>+(4.93+1.81+2.59)+(2.25+2.25+0.25*2)</f>
        <v>14.33</v>
      </c>
      <c r="E783" s="819"/>
      <c r="F783" s="299">
        <f t="shared" si="11"/>
        <v>0</v>
      </c>
    </row>
    <row r="784" spans="1:6" ht="48.75" customHeight="1">
      <c r="A784" s="52" t="s">
        <v>1020</v>
      </c>
      <c r="B784" s="240" t="s">
        <v>1021</v>
      </c>
      <c r="C784" s="297" t="s">
        <v>1218</v>
      </c>
      <c r="D784" s="292">
        <f>2.25+2.25</f>
        <v>4.5</v>
      </c>
      <c r="E784" s="819"/>
      <c r="F784" s="299">
        <f t="shared" si="11"/>
        <v>0</v>
      </c>
    </row>
    <row r="785" spans="1:6" ht="45">
      <c r="A785" s="52" t="s">
        <v>1022</v>
      </c>
      <c r="B785" s="240" t="s">
        <v>1025</v>
      </c>
      <c r="C785" s="297" t="s">
        <v>1218</v>
      </c>
      <c r="D785" s="292">
        <v>4.5</v>
      </c>
      <c r="E785" s="819"/>
      <c r="F785" s="299">
        <f t="shared" si="11"/>
        <v>0</v>
      </c>
    </row>
    <row r="786" spans="1:6" ht="30">
      <c r="A786" s="52" t="s">
        <v>1023</v>
      </c>
      <c r="B786" s="240" t="s">
        <v>1026</v>
      </c>
      <c r="C786" s="297" t="s">
        <v>1218</v>
      </c>
      <c r="D786" s="292">
        <f>4.05*2</f>
        <v>8.1</v>
      </c>
      <c r="E786" s="819"/>
      <c r="F786" s="299">
        <f t="shared" si="11"/>
        <v>0</v>
      </c>
    </row>
    <row r="787" spans="1:6" ht="124.5" customHeight="1">
      <c r="A787" s="52" t="s">
        <v>1024</v>
      </c>
      <c r="B787" s="240" t="s">
        <v>1027</v>
      </c>
      <c r="C787" s="297" t="s">
        <v>1218</v>
      </c>
      <c r="D787" s="292">
        <v>28.5</v>
      </c>
      <c r="E787" s="819"/>
      <c r="F787" s="299">
        <f t="shared" si="11"/>
        <v>0</v>
      </c>
    </row>
    <row r="788" spans="1:6" ht="75">
      <c r="A788" s="52" t="s">
        <v>1028</v>
      </c>
      <c r="B788" s="240" t="s">
        <v>1031</v>
      </c>
      <c r="C788" s="297" t="s">
        <v>183</v>
      </c>
      <c r="D788" s="292">
        <v>6</v>
      </c>
      <c r="E788" s="819"/>
      <c r="F788" s="299">
        <f t="shared" si="11"/>
        <v>0</v>
      </c>
    </row>
    <row r="789" spans="1:6" ht="45">
      <c r="A789" s="52" t="s">
        <v>1029</v>
      </c>
      <c r="B789" s="240" t="s">
        <v>1032</v>
      </c>
      <c r="C789" s="297" t="s">
        <v>183</v>
      </c>
      <c r="D789" s="292">
        <v>4</v>
      </c>
      <c r="E789" s="819"/>
      <c r="F789" s="299">
        <f t="shared" si="11"/>
        <v>0</v>
      </c>
    </row>
    <row r="790" spans="1:6" ht="60">
      <c r="A790" s="52" t="s">
        <v>1030</v>
      </c>
      <c r="B790" s="240" t="s">
        <v>1033</v>
      </c>
      <c r="C790" s="297" t="s">
        <v>183</v>
      </c>
      <c r="D790" s="292">
        <v>5</v>
      </c>
      <c r="E790" s="819"/>
      <c r="F790" s="299">
        <f t="shared" si="11"/>
        <v>0</v>
      </c>
    </row>
    <row r="791" spans="1:6" ht="60">
      <c r="A791" s="52" t="s">
        <v>1034</v>
      </c>
      <c r="B791" s="240" t="s">
        <v>1035</v>
      </c>
      <c r="C791" s="297" t="s">
        <v>1072</v>
      </c>
      <c r="D791" s="292">
        <f>2.04+1.28+1.19+3.78+0.76+3.6+2.4+6.76</f>
        <v>21.81</v>
      </c>
      <c r="E791" s="819"/>
      <c r="F791" s="299">
        <f t="shared" si="11"/>
        <v>0</v>
      </c>
    </row>
    <row r="792" spans="1:6" ht="60">
      <c r="A792" s="52" t="s">
        <v>1036</v>
      </c>
      <c r="B792" s="240" t="s">
        <v>1037</v>
      </c>
      <c r="C792" s="297"/>
      <c r="D792" s="292"/>
      <c r="E792" s="812"/>
      <c r="F792" s="299"/>
    </row>
    <row r="793" spans="1:6" ht="15.75">
      <c r="A793" s="52" t="s">
        <v>1</v>
      </c>
      <c r="B793" s="240" t="s">
        <v>1038</v>
      </c>
      <c r="C793" s="297" t="s">
        <v>1218</v>
      </c>
      <c r="D793" s="292">
        <f>8.2+4.6+4.4+11.4+3.5+11.6+6.2+10.4</f>
        <v>60.300000000000004</v>
      </c>
      <c r="E793" s="819"/>
      <c r="F793" s="299">
        <f>+D793*E793</f>
        <v>0</v>
      </c>
    </row>
    <row r="794" spans="1:6" ht="105">
      <c r="A794" s="52" t="s">
        <v>2</v>
      </c>
      <c r="B794" s="240" t="s">
        <v>1039</v>
      </c>
      <c r="C794" s="297" t="s">
        <v>1072</v>
      </c>
      <c r="D794" s="292">
        <f>60.3*0.5</f>
        <v>30.15</v>
      </c>
      <c r="E794" s="819"/>
      <c r="F794" s="299">
        <f>+D794*E794</f>
        <v>0</v>
      </c>
    </row>
    <row r="795" spans="1:6" ht="60">
      <c r="A795" s="52" t="s">
        <v>1040</v>
      </c>
      <c r="B795" s="240" t="s">
        <v>1041</v>
      </c>
      <c r="C795" s="297"/>
      <c r="D795" s="292"/>
      <c r="E795" s="812"/>
      <c r="F795" s="299"/>
    </row>
    <row r="796" spans="1:6" ht="30">
      <c r="A796" s="52" t="s">
        <v>1</v>
      </c>
      <c r="B796" s="240" t="s">
        <v>1042</v>
      </c>
      <c r="C796" s="297" t="s">
        <v>183</v>
      </c>
      <c r="D796" s="292">
        <v>14</v>
      </c>
      <c r="E796" s="819"/>
      <c r="F796" s="299">
        <f>+D796*E796</f>
        <v>0</v>
      </c>
    </row>
    <row r="797" spans="1:6" ht="18" customHeight="1">
      <c r="A797" s="52" t="s">
        <v>2</v>
      </c>
      <c r="B797" s="240" t="s">
        <v>1043</v>
      </c>
      <c r="C797" s="297" t="s">
        <v>1218</v>
      </c>
      <c r="D797" s="292">
        <f>0.85*2+0.85*3+0.85*15</f>
        <v>17</v>
      </c>
      <c r="E797" s="819"/>
      <c r="F797" s="299">
        <f>+D797*E797</f>
        <v>0</v>
      </c>
    </row>
    <row r="798" spans="1:6" ht="30.75">
      <c r="A798" s="52" t="s">
        <v>1044</v>
      </c>
      <c r="B798" s="240" t="s">
        <v>1290</v>
      </c>
      <c r="C798" s="297"/>
      <c r="D798" s="292"/>
      <c r="E798" s="812"/>
      <c r="F798" s="299"/>
    </row>
    <row r="799" spans="1:6" ht="30">
      <c r="A799" s="52" t="s">
        <v>1</v>
      </c>
      <c r="B799" s="240" t="s">
        <v>1045</v>
      </c>
      <c r="C799" s="297" t="s">
        <v>1072</v>
      </c>
      <c r="D799" s="292">
        <v>19.25</v>
      </c>
      <c r="E799" s="819"/>
      <c r="F799" s="299">
        <f>+D799*E799</f>
        <v>0</v>
      </c>
    </row>
    <row r="800" spans="1:6" ht="15.75">
      <c r="A800" s="52" t="s">
        <v>2</v>
      </c>
      <c r="B800" s="240" t="s">
        <v>1046</v>
      </c>
      <c r="C800" s="297" t="s">
        <v>1072</v>
      </c>
      <c r="D800" s="292">
        <v>19.25</v>
      </c>
      <c r="E800" s="819"/>
      <c r="F800" s="299">
        <f>+D800*E800</f>
        <v>0</v>
      </c>
    </row>
    <row r="801" spans="1:6" ht="15.75">
      <c r="A801" s="52" t="s">
        <v>3</v>
      </c>
      <c r="B801" s="240" t="s">
        <v>1047</v>
      </c>
      <c r="C801" s="297" t="s">
        <v>1072</v>
      </c>
      <c r="D801" s="292">
        <f>5.5*3.5</f>
        <v>19.25</v>
      </c>
      <c r="E801" s="819"/>
      <c r="F801" s="299">
        <f aca="true" t="shared" si="12" ref="F801:F814">+D801*E801</f>
        <v>0</v>
      </c>
    </row>
    <row r="802" spans="1:6" ht="48.75" customHeight="1">
      <c r="A802" s="52" t="s">
        <v>4</v>
      </c>
      <c r="B802" s="240" t="s">
        <v>1048</v>
      </c>
      <c r="C802" s="297" t="s">
        <v>1072</v>
      </c>
      <c r="D802" s="292">
        <f>+(5.5*3.5)+(5.5+3.5)*2*0.2</f>
        <v>22.85</v>
      </c>
      <c r="E802" s="819"/>
      <c r="F802" s="299">
        <f t="shared" si="12"/>
        <v>0</v>
      </c>
    </row>
    <row r="803" spans="1:6" ht="45">
      <c r="A803" s="52" t="s">
        <v>5</v>
      </c>
      <c r="B803" s="240" t="s">
        <v>1049</v>
      </c>
      <c r="C803" s="297" t="s">
        <v>1218</v>
      </c>
      <c r="D803" s="292">
        <v>5.5</v>
      </c>
      <c r="E803" s="819"/>
      <c r="F803" s="299">
        <f t="shared" si="12"/>
        <v>0</v>
      </c>
    </row>
    <row r="804" spans="1:6" ht="30">
      <c r="A804" s="52" t="s">
        <v>8</v>
      </c>
      <c r="B804" s="240" t="s">
        <v>1050</v>
      </c>
      <c r="C804" s="297" t="s">
        <v>1218</v>
      </c>
      <c r="D804" s="292">
        <f>5.5+3.5*2</f>
        <v>12.5</v>
      </c>
      <c r="E804" s="819"/>
      <c r="F804" s="299">
        <f t="shared" si="12"/>
        <v>0</v>
      </c>
    </row>
    <row r="805" spans="1:6" ht="30">
      <c r="A805" s="52" t="s">
        <v>10</v>
      </c>
      <c r="B805" s="240" t="s">
        <v>1051</v>
      </c>
      <c r="C805" s="297" t="s">
        <v>1218</v>
      </c>
      <c r="D805" s="292">
        <f>5.5+3.5*2</f>
        <v>12.5</v>
      </c>
      <c r="E805" s="819"/>
      <c r="F805" s="299">
        <f t="shared" si="12"/>
        <v>0</v>
      </c>
    </row>
    <row r="806" spans="1:6" ht="45">
      <c r="A806" s="52" t="s">
        <v>11</v>
      </c>
      <c r="B806" s="240" t="s">
        <v>1052</v>
      </c>
      <c r="C806" s="297" t="s">
        <v>1218</v>
      </c>
      <c r="D806" s="292">
        <f>5.5+3.5*2</f>
        <v>12.5</v>
      </c>
      <c r="E806" s="819"/>
      <c r="F806" s="299">
        <f t="shared" si="12"/>
        <v>0</v>
      </c>
    </row>
    <row r="807" spans="1:6" ht="30">
      <c r="A807" s="52" t="s">
        <v>1053</v>
      </c>
      <c r="B807" s="240" t="s">
        <v>1054</v>
      </c>
      <c r="C807" s="297" t="s">
        <v>1218</v>
      </c>
      <c r="D807" s="292">
        <v>5.5</v>
      </c>
      <c r="E807" s="819"/>
      <c r="F807" s="299">
        <f t="shared" si="12"/>
        <v>0</v>
      </c>
    </row>
    <row r="808" spans="1:6" ht="45">
      <c r="A808" s="52" t="s">
        <v>399</v>
      </c>
      <c r="B808" s="240" t="s">
        <v>1055</v>
      </c>
      <c r="C808" s="297" t="s">
        <v>183</v>
      </c>
      <c r="D808" s="292">
        <v>1</v>
      </c>
      <c r="E808" s="819"/>
      <c r="F808" s="299">
        <f t="shared" si="12"/>
        <v>0</v>
      </c>
    </row>
    <row r="809" spans="1:6" ht="107.25">
      <c r="A809" s="52" t="s">
        <v>1056</v>
      </c>
      <c r="B809" s="415" t="s">
        <v>1314</v>
      </c>
      <c r="C809" s="297" t="s">
        <v>1072</v>
      </c>
      <c r="D809" s="292">
        <f>+(4.46+4.35)*25.45-2.4*3.9</f>
        <v>214.85449999999997</v>
      </c>
      <c r="E809" s="819"/>
      <c r="F809" s="299">
        <f t="shared" si="12"/>
        <v>0</v>
      </c>
    </row>
    <row r="810" spans="1:6" ht="30">
      <c r="A810" s="52" t="s">
        <v>1057</v>
      </c>
      <c r="B810" s="240" t="s">
        <v>1058</v>
      </c>
      <c r="C810" s="297"/>
      <c r="D810" s="292"/>
      <c r="E810" s="820"/>
      <c r="F810" s="299">
        <f t="shared" si="12"/>
        <v>0</v>
      </c>
    </row>
    <row r="811" spans="1:6" ht="15.75">
      <c r="A811" s="52" t="s">
        <v>1</v>
      </c>
      <c r="B811" s="240" t="s">
        <v>1059</v>
      </c>
      <c r="C811" s="297" t="s">
        <v>1072</v>
      </c>
      <c r="D811" s="292">
        <v>10.31</v>
      </c>
      <c r="E811" s="819"/>
      <c r="F811" s="299">
        <f t="shared" si="12"/>
        <v>0</v>
      </c>
    </row>
    <row r="812" spans="1:6" ht="15.75">
      <c r="A812" s="52" t="s">
        <v>2</v>
      </c>
      <c r="B812" s="240" t="s">
        <v>1060</v>
      </c>
      <c r="C812" s="297" t="s">
        <v>1072</v>
      </c>
      <c r="D812" s="292">
        <v>10.31</v>
      </c>
      <c r="E812" s="819"/>
      <c r="F812" s="299">
        <f t="shared" si="12"/>
        <v>0</v>
      </c>
    </row>
    <row r="813" spans="1:6" ht="15.75">
      <c r="A813" s="52" t="s">
        <v>3</v>
      </c>
      <c r="B813" s="240" t="s">
        <v>1061</v>
      </c>
      <c r="C813" s="297" t="s">
        <v>1072</v>
      </c>
      <c r="D813" s="292">
        <v>10.31</v>
      </c>
      <c r="E813" s="819"/>
      <c r="F813" s="299">
        <f t="shared" si="12"/>
        <v>0</v>
      </c>
    </row>
    <row r="814" spans="1:6" ht="47.25">
      <c r="A814" s="52" t="s">
        <v>4</v>
      </c>
      <c r="B814" s="240" t="s">
        <v>1062</v>
      </c>
      <c r="C814" s="297" t="s">
        <v>1072</v>
      </c>
      <c r="D814" s="292">
        <v>10.31</v>
      </c>
      <c r="E814" s="819"/>
      <c r="F814" s="299">
        <f t="shared" si="12"/>
        <v>0</v>
      </c>
    </row>
    <row r="815" spans="1:6" ht="15.75">
      <c r="A815" s="52" t="s">
        <v>5</v>
      </c>
      <c r="B815" s="240" t="s">
        <v>1063</v>
      </c>
      <c r="C815" s="297" t="s">
        <v>1072</v>
      </c>
      <c r="D815" s="292">
        <v>10.31</v>
      </c>
      <c r="E815" s="819"/>
      <c r="F815" s="299">
        <f aca="true" t="shared" si="13" ref="F815:F820">+D815*E815</f>
        <v>0</v>
      </c>
    </row>
    <row r="816" spans="1:6" ht="15.75">
      <c r="A816" s="52" t="s">
        <v>8</v>
      </c>
      <c r="B816" s="240" t="s">
        <v>1064</v>
      </c>
      <c r="C816" s="297" t="s">
        <v>1072</v>
      </c>
      <c r="D816" s="292">
        <f>+(0.72+1.65)*(3.13+0.72+0.5)</f>
        <v>10.3095</v>
      </c>
      <c r="E816" s="819"/>
      <c r="F816" s="299">
        <f t="shared" si="13"/>
        <v>0</v>
      </c>
    </row>
    <row r="817" spans="1:6" ht="30">
      <c r="A817" s="52" t="s">
        <v>10</v>
      </c>
      <c r="B817" s="240" t="s">
        <v>1065</v>
      </c>
      <c r="C817" s="297" t="s">
        <v>1072</v>
      </c>
      <c r="D817" s="292">
        <f>+(0.72+1.65+0.15)*(3.13+0.72+0.5+0.15)</f>
        <v>11.34</v>
      </c>
      <c r="E817" s="819"/>
      <c r="F817" s="299">
        <f t="shared" si="13"/>
        <v>0</v>
      </c>
    </row>
    <row r="818" spans="1:6" ht="34.5" customHeight="1">
      <c r="A818" s="52" t="s">
        <v>11</v>
      </c>
      <c r="B818" s="240" t="s">
        <v>1066</v>
      </c>
      <c r="C818" s="297" t="s">
        <v>1218</v>
      </c>
      <c r="D818" s="292">
        <v>3.5</v>
      </c>
      <c r="E818" s="819"/>
      <c r="F818" s="299">
        <f t="shared" si="13"/>
        <v>0</v>
      </c>
    </row>
    <row r="819" spans="1:6" ht="75">
      <c r="A819" s="52" t="s">
        <v>1067</v>
      </c>
      <c r="B819" s="240" t="s">
        <v>1089</v>
      </c>
      <c r="C819" s="297" t="s">
        <v>183</v>
      </c>
      <c r="D819" s="292">
        <v>1</v>
      </c>
      <c r="E819" s="819"/>
      <c r="F819" s="299">
        <f t="shared" si="13"/>
        <v>0</v>
      </c>
    </row>
    <row r="820" spans="1:6" ht="60">
      <c r="A820" s="52" t="s">
        <v>1068</v>
      </c>
      <c r="B820" s="240" t="s">
        <v>1090</v>
      </c>
      <c r="C820" s="297" t="s">
        <v>1218</v>
      </c>
      <c r="D820" s="292">
        <v>3</v>
      </c>
      <c r="E820" s="819"/>
      <c r="F820" s="299">
        <f t="shared" si="13"/>
        <v>0</v>
      </c>
    </row>
    <row r="821" spans="1:6" ht="45">
      <c r="A821" s="52" t="s">
        <v>1069</v>
      </c>
      <c r="B821" s="240" t="s">
        <v>1091</v>
      </c>
      <c r="C821" s="297"/>
      <c r="D821" s="292"/>
      <c r="E821" s="812"/>
      <c r="F821" s="299"/>
    </row>
    <row r="822" spans="1:6" ht="60">
      <c r="A822" s="52" t="s">
        <v>1</v>
      </c>
      <c r="B822" s="240" t="s">
        <v>1092</v>
      </c>
      <c r="C822" s="297" t="s">
        <v>1072</v>
      </c>
      <c r="D822" s="292">
        <f>1.96*25.4*2</f>
        <v>99.568</v>
      </c>
      <c r="E822" s="819"/>
      <c r="F822" s="299">
        <f aca="true" t="shared" si="14" ref="F822:F838">+D822*E822</f>
        <v>0</v>
      </c>
    </row>
    <row r="823" spans="1:6" ht="30">
      <c r="A823" s="52" t="s">
        <v>2</v>
      </c>
      <c r="B823" s="240" t="s">
        <v>1093</v>
      </c>
      <c r="C823" s="297" t="s">
        <v>1072</v>
      </c>
      <c r="D823" s="292">
        <f>1.7*3.7*3*2</f>
        <v>37.74</v>
      </c>
      <c r="E823" s="819"/>
      <c r="F823" s="299">
        <f t="shared" si="14"/>
        <v>0</v>
      </c>
    </row>
    <row r="824" spans="1:6" ht="45">
      <c r="A824" s="52" t="s">
        <v>3</v>
      </c>
      <c r="B824" s="415" t="s">
        <v>1319</v>
      </c>
      <c r="C824" s="297" t="s">
        <v>1072</v>
      </c>
      <c r="D824" s="292">
        <f>2.9*2.5*0.5*6*2</f>
        <v>43.5</v>
      </c>
      <c r="E824" s="819"/>
      <c r="F824" s="299">
        <f t="shared" si="14"/>
        <v>0</v>
      </c>
    </row>
    <row r="825" spans="1:6" ht="80.25" customHeight="1">
      <c r="A825" s="52" t="s">
        <v>4</v>
      </c>
      <c r="B825" s="240" t="s">
        <v>1094</v>
      </c>
      <c r="C825" s="297" t="s">
        <v>1218</v>
      </c>
      <c r="D825" s="292">
        <f>25.4+25.4</f>
        <v>50.8</v>
      </c>
      <c r="E825" s="819"/>
      <c r="F825" s="299">
        <f t="shared" si="14"/>
        <v>0</v>
      </c>
    </row>
    <row r="826" spans="1:6" ht="60">
      <c r="A826" s="52" t="s">
        <v>1095</v>
      </c>
      <c r="B826" s="240" t="s">
        <v>1291</v>
      </c>
      <c r="C826" s="297" t="s">
        <v>1218</v>
      </c>
      <c r="D826" s="292">
        <f>25.4+25.4</f>
        <v>50.8</v>
      </c>
      <c r="E826" s="819"/>
      <c r="F826" s="299">
        <f t="shared" si="14"/>
        <v>0</v>
      </c>
    </row>
    <row r="827" spans="1:6" ht="30">
      <c r="A827" s="52" t="s">
        <v>1096</v>
      </c>
      <c r="B827" s="240" t="s">
        <v>1097</v>
      </c>
      <c r="C827" s="297" t="s">
        <v>1218</v>
      </c>
      <c r="D827" s="292">
        <f>25.4+25.4+4.5+0.5</f>
        <v>55.8</v>
      </c>
      <c r="E827" s="819"/>
      <c r="F827" s="299">
        <f t="shared" si="14"/>
        <v>0</v>
      </c>
    </row>
    <row r="828" spans="1:6" ht="30">
      <c r="A828" s="52" t="s">
        <v>1098</v>
      </c>
      <c r="B828" s="240" t="s">
        <v>1099</v>
      </c>
      <c r="C828" s="297" t="s">
        <v>1218</v>
      </c>
      <c r="D828" s="292">
        <f>25.4+25.4+4.5+0.5</f>
        <v>55.8</v>
      </c>
      <c r="E828" s="819"/>
      <c r="F828" s="299">
        <f t="shared" si="14"/>
        <v>0</v>
      </c>
    </row>
    <row r="829" spans="1:6" ht="45">
      <c r="A829" s="52" t="s">
        <v>5</v>
      </c>
      <c r="B829" s="415" t="s">
        <v>1326</v>
      </c>
      <c r="C829" s="297" t="s">
        <v>1072</v>
      </c>
      <c r="D829" s="292">
        <f>2.9*3.55*3*2</f>
        <v>61.769999999999996</v>
      </c>
      <c r="E829" s="819"/>
      <c r="F829" s="299">
        <f t="shared" si="14"/>
        <v>0</v>
      </c>
    </row>
    <row r="830" spans="1:6" ht="49.5" customHeight="1">
      <c r="A830" s="52" t="s">
        <v>8</v>
      </c>
      <c r="B830" s="240" t="s">
        <v>1100</v>
      </c>
      <c r="C830" s="297" t="s">
        <v>1072</v>
      </c>
      <c r="D830" s="292">
        <f>2.49*2.9*0.5*14</f>
        <v>50.547</v>
      </c>
      <c r="E830" s="819"/>
      <c r="F830" s="299">
        <f t="shared" si="14"/>
        <v>0</v>
      </c>
    </row>
    <row r="831" spans="1:6" ht="45">
      <c r="A831" s="52" t="s">
        <v>10</v>
      </c>
      <c r="B831" s="240" t="s">
        <v>1101</v>
      </c>
      <c r="C831" s="297" t="s">
        <v>1218</v>
      </c>
      <c r="D831" s="292">
        <f>2.8*14</f>
        <v>39.199999999999996</v>
      </c>
      <c r="E831" s="819"/>
      <c r="F831" s="299">
        <f t="shared" si="14"/>
        <v>0</v>
      </c>
    </row>
    <row r="832" spans="1:6" ht="94.5" customHeight="1">
      <c r="A832" s="52" t="s">
        <v>11</v>
      </c>
      <c r="B832" s="240" t="s">
        <v>1294</v>
      </c>
      <c r="C832" s="297" t="s">
        <v>1218</v>
      </c>
      <c r="D832" s="292">
        <v>26.1</v>
      </c>
      <c r="E832" s="819"/>
      <c r="F832" s="299">
        <f t="shared" si="14"/>
        <v>0</v>
      </c>
    </row>
    <row r="833" spans="1:6" ht="35.25" customHeight="1">
      <c r="A833" s="52" t="s">
        <v>1102</v>
      </c>
      <c r="B833" s="240" t="s">
        <v>1103</v>
      </c>
      <c r="C833" s="297" t="s">
        <v>1218</v>
      </c>
      <c r="D833" s="292">
        <f>3.7*6+4.8</f>
        <v>27.000000000000004</v>
      </c>
      <c r="E833" s="819"/>
      <c r="F833" s="299">
        <f t="shared" si="14"/>
        <v>0</v>
      </c>
    </row>
    <row r="834" spans="1:6" ht="45">
      <c r="A834" s="52" t="s">
        <v>1104</v>
      </c>
      <c r="B834" s="240" t="s">
        <v>1107</v>
      </c>
      <c r="C834" s="297" t="s">
        <v>183</v>
      </c>
      <c r="D834" s="292">
        <v>2</v>
      </c>
      <c r="E834" s="819"/>
      <c r="F834" s="299">
        <f t="shared" si="14"/>
        <v>0</v>
      </c>
    </row>
    <row r="835" spans="1:6" ht="48.75" customHeight="1">
      <c r="A835" s="52" t="s">
        <v>1105</v>
      </c>
      <c r="B835" s="240" t="s">
        <v>1108</v>
      </c>
      <c r="C835" s="297" t="s">
        <v>1218</v>
      </c>
      <c r="D835" s="292">
        <v>29</v>
      </c>
      <c r="E835" s="819"/>
      <c r="F835" s="299">
        <f t="shared" si="14"/>
        <v>0</v>
      </c>
    </row>
    <row r="836" spans="1:6" ht="45">
      <c r="A836" s="52" t="s">
        <v>1106</v>
      </c>
      <c r="B836" s="240" t="s">
        <v>1109</v>
      </c>
      <c r="C836" s="297" t="s">
        <v>183</v>
      </c>
      <c r="D836" s="292">
        <v>2</v>
      </c>
      <c r="E836" s="819"/>
      <c r="F836" s="299">
        <f t="shared" si="14"/>
        <v>0</v>
      </c>
    </row>
    <row r="837" spans="1:6" ht="30">
      <c r="A837" s="52" t="s">
        <v>1110</v>
      </c>
      <c r="B837" s="240" t="s">
        <v>1111</v>
      </c>
      <c r="C837" s="297" t="s">
        <v>183</v>
      </c>
      <c r="D837" s="292">
        <v>2</v>
      </c>
      <c r="E837" s="819"/>
      <c r="F837" s="299">
        <f t="shared" si="14"/>
        <v>0</v>
      </c>
    </row>
    <row r="838" spans="1:6" ht="75">
      <c r="A838" s="52" t="s">
        <v>1292</v>
      </c>
      <c r="B838" s="278" t="s">
        <v>1293</v>
      </c>
      <c r="C838" s="410" t="s">
        <v>702</v>
      </c>
      <c r="D838" s="411">
        <v>4.5</v>
      </c>
      <c r="E838" s="821"/>
      <c r="F838" s="299">
        <f t="shared" si="14"/>
        <v>0</v>
      </c>
    </row>
    <row r="839" spans="1:6" ht="15">
      <c r="A839" s="171"/>
      <c r="B839" s="3"/>
      <c r="C839" s="298"/>
      <c r="D839" s="300"/>
      <c r="E839" s="822"/>
      <c r="F839" s="301"/>
    </row>
    <row r="840" spans="1:6" ht="15">
      <c r="A840" s="330"/>
      <c r="B840" s="203" t="s">
        <v>409</v>
      </c>
      <c r="C840" s="361"/>
      <c r="D840" s="204"/>
      <c r="E840" s="813"/>
      <c r="F840" s="205">
        <f>SUM(F767:F839)</f>
        <v>0</v>
      </c>
    </row>
    <row r="841" spans="1:6" ht="15">
      <c r="A841" s="23"/>
      <c r="B841" s="213"/>
      <c r="C841" s="376"/>
      <c r="D841" s="214"/>
      <c r="E841" s="823"/>
      <c r="F841" s="215"/>
    </row>
    <row r="842" spans="1:6" ht="15">
      <c r="A842" s="23"/>
      <c r="B842" s="213"/>
      <c r="C842" s="376"/>
      <c r="D842" s="214"/>
      <c r="E842" s="823"/>
      <c r="F842" s="215"/>
    </row>
    <row r="843" spans="1:6" ht="15.75">
      <c r="A843" s="406" t="s">
        <v>90</v>
      </c>
      <c r="B843" s="6" t="s">
        <v>24</v>
      </c>
      <c r="C843" s="367"/>
      <c r="D843" s="148"/>
      <c r="E843" s="824"/>
      <c r="F843" s="153"/>
    </row>
    <row r="844" spans="1:6" ht="15">
      <c r="A844" s="328"/>
      <c r="B844" s="39" t="s">
        <v>30</v>
      </c>
      <c r="C844" s="294"/>
      <c r="D844" s="2"/>
      <c r="E844" s="784"/>
      <c r="F844" s="154"/>
    </row>
    <row r="845" spans="1:6" ht="15">
      <c r="A845" s="52"/>
      <c r="B845" s="40" t="s">
        <v>31</v>
      </c>
      <c r="C845" s="294"/>
      <c r="D845" s="2"/>
      <c r="E845" s="784"/>
      <c r="F845" s="154"/>
    </row>
    <row r="846" spans="1:6" ht="22.5">
      <c r="A846" s="52" t="s">
        <v>25</v>
      </c>
      <c r="B846" s="40" t="s">
        <v>59</v>
      </c>
      <c r="C846" s="294"/>
      <c r="D846" s="2"/>
      <c r="E846" s="784"/>
      <c r="F846" s="154"/>
    </row>
    <row r="847" spans="1:6" ht="15">
      <c r="A847" s="52" t="s">
        <v>26</v>
      </c>
      <c r="B847" s="40" t="s">
        <v>56</v>
      </c>
      <c r="C847" s="294"/>
      <c r="D847" s="2"/>
      <c r="E847" s="784"/>
      <c r="F847" s="154"/>
    </row>
    <row r="848" spans="1:6" ht="15">
      <c r="A848" s="52" t="s">
        <v>1</v>
      </c>
      <c r="B848" s="40" t="s">
        <v>45</v>
      </c>
      <c r="C848" s="294"/>
      <c r="D848" s="2"/>
      <c r="E848" s="784"/>
      <c r="F848" s="154"/>
    </row>
    <row r="849" spans="1:6" ht="15">
      <c r="A849" s="52" t="s">
        <v>2</v>
      </c>
      <c r="B849" s="40" t="s">
        <v>46</v>
      </c>
      <c r="C849" s="294"/>
      <c r="D849" s="2"/>
      <c r="E849" s="784"/>
      <c r="F849" s="154"/>
    </row>
    <row r="850" spans="1:6" ht="15">
      <c r="A850" s="52" t="s">
        <v>3</v>
      </c>
      <c r="B850" s="40" t="s">
        <v>57</v>
      </c>
      <c r="C850" s="294"/>
      <c r="D850" s="2"/>
      <c r="E850" s="784"/>
      <c r="F850" s="154"/>
    </row>
    <row r="851" spans="1:6" ht="15">
      <c r="A851" s="52" t="s">
        <v>4</v>
      </c>
      <c r="B851" s="40" t="s">
        <v>47</v>
      </c>
      <c r="C851" s="294"/>
      <c r="D851" s="2"/>
      <c r="E851" s="784"/>
      <c r="F851" s="154"/>
    </row>
    <row r="852" spans="1:6" ht="15">
      <c r="A852" s="52" t="s">
        <v>5</v>
      </c>
      <c r="B852" s="40" t="s">
        <v>0</v>
      </c>
      <c r="C852" s="294"/>
      <c r="D852" s="2"/>
      <c r="E852" s="784"/>
      <c r="F852" s="154"/>
    </row>
    <row r="853" spans="1:6" ht="33.75">
      <c r="A853" s="52" t="s">
        <v>8</v>
      </c>
      <c r="B853" s="40" t="s">
        <v>53</v>
      </c>
      <c r="C853" s="294"/>
      <c r="D853" s="2"/>
      <c r="E853" s="784"/>
      <c r="F853" s="154"/>
    </row>
    <row r="854" spans="1:6" ht="15">
      <c r="A854" s="52" t="s">
        <v>10</v>
      </c>
      <c r="B854" s="40" t="s">
        <v>60</v>
      </c>
      <c r="C854" s="294"/>
      <c r="D854" s="2"/>
      <c r="E854" s="784"/>
      <c r="F854" s="154"/>
    </row>
    <row r="855" spans="1:6" ht="22.5">
      <c r="A855" s="52" t="s">
        <v>11</v>
      </c>
      <c r="B855" s="40" t="s">
        <v>58</v>
      </c>
      <c r="C855" s="294"/>
      <c r="D855" s="2"/>
      <c r="E855" s="784"/>
      <c r="F855" s="154"/>
    </row>
    <row r="856" spans="1:6" ht="308.25" customHeight="1">
      <c r="A856" s="52"/>
      <c r="B856" s="60" t="s">
        <v>141</v>
      </c>
      <c r="C856" s="294"/>
      <c r="D856" s="2"/>
      <c r="E856" s="784"/>
      <c r="F856" s="154"/>
    </row>
    <row r="857" spans="1:6" ht="22.5">
      <c r="A857" s="52" t="s">
        <v>27</v>
      </c>
      <c r="B857" s="38" t="s">
        <v>43</v>
      </c>
      <c r="C857" s="294"/>
      <c r="D857" s="2"/>
      <c r="E857" s="825"/>
      <c r="F857" s="7"/>
    </row>
    <row r="858" spans="1:8" ht="156" customHeight="1">
      <c r="A858" s="52" t="s">
        <v>809</v>
      </c>
      <c r="B858" s="409" t="s">
        <v>1288</v>
      </c>
      <c r="C858" s="310"/>
      <c r="D858" s="259"/>
      <c r="E858" s="800"/>
      <c r="F858" s="27"/>
      <c r="G858" s="96"/>
      <c r="H858" s="97"/>
    </row>
    <row r="859" spans="1:8" ht="15">
      <c r="A859" s="52" t="s">
        <v>1</v>
      </c>
      <c r="B859" s="284" t="s">
        <v>968</v>
      </c>
      <c r="C859" s="310" t="s">
        <v>721</v>
      </c>
      <c r="D859" s="259">
        <v>150</v>
      </c>
      <c r="E859" s="826"/>
      <c r="F859" s="27">
        <f>+D859*E859</f>
        <v>0</v>
      </c>
      <c r="G859" s="96"/>
      <c r="H859" s="97"/>
    </row>
    <row r="860" spans="1:8" ht="15">
      <c r="A860" s="52" t="s">
        <v>969</v>
      </c>
      <c r="B860" s="284" t="s">
        <v>970</v>
      </c>
      <c r="C860" s="310" t="s">
        <v>721</v>
      </c>
      <c r="D860" s="259">
        <v>140</v>
      </c>
      <c r="E860" s="826"/>
      <c r="F860" s="27">
        <f>+D860*E860</f>
        <v>0</v>
      </c>
      <c r="G860" s="96"/>
      <c r="H860" s="97"/>
    </row>
    <row r="861" spans="1:8" ht="15">
      <c r="A861" s="52" t="s">
        <v>3</v>
      </c>
      <c r="B861" s="284" t="s">
        <v>971</v>
      </c>
      <c r="C861" s="310" t="s">
        <v>721</v>
      </c>
      <c r="D861" s="259">
        <v>35</v>
      </c>
      <c r="E861" s="826"/>
      <c r="F861" s="27">
        <f>+D861*E861</f>
        <v>0</v>
      </c>
      <c r="G861" s="96"/>
      <c r="H861" s="97"/>
    </row>
    <row r="862" spans="1:8" ht="48.75" customHeight="1">
      <c r="A862" s="52" t="s">
        <v>810</v>
      </c>
      <c r="B862" s="284" t="s">
        <v>972</v>
      </c>
      <c r="C862" s="310" t="s">
        <v>1218</v>
      </c>
      <c r="D862" s="259">
        <v>50.85</v>
      </c>
      <c r="E862" s="826"/>
      <c r="F862" s="27">
        <f>+D862*E862</f>
        <v>0</v>
      </c>
      <c r="G862" s="96"/>
      <c r="H862" s="97"/>
    </row>
    <row r="863" spans="1:8" ht="156.75" customHeight="1">
      <c r="A863" s="52" t="s">
        <v>811</v>
      </c>
      <c r="B863" s="418" t="s">
        <v>1330</v>
      </c>
      <c r="C863" s="310"/>
      <c r="D863" s="259"/>
      <c r="E863" s="800"/>
      <c r="F863" s="27"/>
      <c r="G863" s="96"/>
      <c r="H863" s="97"/>
    </row>
    <row r="864" spans="1:8" ht="15">
      <c r="A864" s="52" t="s">
        <v>1</v>
      </c>
      <c r="B864" s="284" t="s">
        <v>973</v>
      </c>
      <c r="C864" s="310" t="s">
        <v>721</v>
      </c>
      <c r="D864" s="259">
        <f>+(2.22*11)*10.4</f>
        <v>253.96800000000002</v>
      </c>
      <c r="E864" s="826"/>
      <c r="F864" s="27">
        <f>+D864*E864</f>
        <v>0</v>
      </c>
      <c r="G864" s="96"/>
      <c r="H864" s="97"/>
    </row>
    <row r="865" spans="1:8" ht="15">
      <c r="A865" s="52" t="s">
        <v>2</v>
      </c>
      <c r="B865" s="284" t="s">
        <v>974</v>
      </c>
      <c r="C865" s="310" t="s">
        <v>721</v>
      </c>
      <c r="D865" s="259">
        <f>+(4.93*2+2.59)*15.9</f>
        <v>197.95499999999998</v>
      </c>
      <c r="E865" s="826"/>
      <c r="F865" s="27">
        <f>+D865*E865</f>
        <v>0</v>
      </c>
      <c r="G865" s="96"/>
      <c r="H865" s="97"/>
    </row>
    <row r="866" spans="1:8" ht="15">
      <c r="A866" s="52" t="s">
        <v>3</v>
      </c>
      <c r="B866" s="284" t="s">
        <v>975</v>
      </c>
      <c r="C866" s="310" t="s">
        <v>721</v>
      </c>
      <c r="D866" s="259">
        <f>+(2.15*3+2.66*3+2.22*3+2.66*4+2.22*3+1.81*2+1.5*2)*12.56</f>
        <v>565.3256</v>
      </c>
      <c r="E866" s="826"/>
      <c r="F866" s="27">
        <f>+D866*E866</f>
        <v>0</v>
      </c>
      <c r="G866" s="96"/>
      <c r="H866" s="97"/>
    </row>
    <row r="867" spans="1:8" ht="108.75" customHeight="1">
      <c r="A867" s="52" t="s">
        <v>826</v>
      </c>
      <c r="B867" s="409" t="s">
        <v>1289</v>
      </c>
      <c r="C867" s="310"/>
      <c r="D867" s="259"/>
      <c r="E867" s="800"/>
      <c r="F867" s="27"/>
      <c r="G867" s="96"/>
      <c r="H867" s="97"/>
    </row>
    <row r="868" spans="1:8" ht="15.75">
      <c r="A868" s="52" t="s">
        <v>1</v>
      </c>
      <c r="B868" s="284" t="s">
        <v>976</v>
      </c>
      <c r="C868" s="310" t="s">
        <v>1072</v>
      </c>
      <c r="D868" s="259">
        <f>2.8*3*10*2*0.12</f>
        <v>20.159999999999997</v>
      </c>
      <c r="E868" s="826"/>
      <c r="F868" s="27">
        <f>+D868*E868</f>
        <v>0</v>
      </c>
      <c r="G868" s="96"/>
      <c r="H868" s="97"/>
    </row>
    <row r="869" spans="1:8" ht="17.25">
      <c r="A869" s="52" t="s">
        <v>2</v>
      </c>
      <c r="B869" s="284" t="s">
        <v>977</v>
      </c>
      <c r="C869" s="310" t="s">
        <v>1218</v>
      </c>
      <c r="D869" s="259">
        <f>16.5*3+2.8*2*10</f>
        <v>105.5</v>
      </c>
      <c r="E869" s="826"/>
      <c r="F869" s="27">
        <f>+D869*E869</f>
        <v>0</v>
      </c>
      <c r="G869" s="96"/>
      <c r="H869" s="97"/>
    </row>
    <row r="870" spans="1:8" ht="15">
      <c r="A870" s="52" t="s">
        <v>827</v>
      </c>
      <c r="B870" s="61" t="s">
        <v>978</v>
      </c>
      <c r="C870" s="310"/>
      <c r="D870" s="259"/>
      <c r="E870" s="800"/>
      <c r="F870" s="27"/>
      <c r="G870" s="96"/>
      <c r="H870" s="97"/>
    </row>
    <row r="871" spans="1:8" ht="15.75">
      <c r="A871" s="52" t="s">
        <v>1</v>
      </c>
      <c r="B871" s="284" t="s">
        <v>979</v>
      </c>
      <c r="C871" s="310" t="s">
        <v>1072</v>
      </c>
      <c r="D871" s="259">
        <f>+(4.7+0.55+0.45)*0.1*3*5</f>
        <v>8.55</v>
      </c>
      <c r="E871" s="826"/>
      <c r="F871" s="27">
        <f aca="true" t="shared" si="15" ref="F871:F876">+D871*E871</f>
        <v>0</v>
      </c>
      <c r="G871" s="96"/>
      <c r="H871" s="97"/>
    </row>
    <row r="872" spans="1:8" ht="17.25">
      <c r="A872" s="52" t="s">
        <v>2</v>
      </c>
      <c r="B872" s="284" t="s">
        <v>977</v>
      </c>
      <c r="C872" s="310" t="s">
        <v>1218</v>
      </c>
      <c r="D872" s="259">
        <v>97</v>
      </c>
      <c r="E872" s="826"/>
      <c r="F872" s="27">
        <f t="shared" si="15"/>
        <v>0</v>
      </c>
      <c r="G872" s="96"/>
      <c r="H872" s="97"/>
    </row>
    <row r="873" spans="1:8" ht="111">
      <c r="A873" s="52" t="s">
        <v>828</v>
      </c>
      <c r="B873" s="239" t="s">
        <v>1328</v>
      </c>
      <c r="C873" s="310" t="s">
        <v>183</v>
      </c>
      <c r="D873" s="259">
        <v>1</v>
      </c>
      <c r="E873" s="799"/>
      <c r="F873" s="260">
        <f t="shared" si="15"/>
        <v>0</v>
      </c>
      <c r="G873" s="96"/>
      <c r="H873" s="97"/>
    </row>
    <row r="874" spans="1:8" ht="75">
      <c r="A874" s="52" t="s">
        <v>980</v>
      </c>
      <c r="B874" s="239" t="s">
        <v>1329</v>
      </c>
      <c r="C874" s="310" t="s">
        <v>183</v>
      </c>
      <c r="D874" s="259">
        <v>1</v>
      </c>
      <c r="E874" s="799"/>
      <c r="F874" s="260">
        <f t="shared" si="15"/>
        <v>0</v>
      </c>
      <c r="G874" s="96"/>
      <c r="H874" s="97"/>
    </row>
    <row r="875" spans="1:8" ht="90">
      <c r="A875" s="52" t="s">
        <v>981</v>
      </c>
      <c r="B875" s="239" t="s">
        <v>1327</v>
      </c>
      <c r="C875" s="310" t="s">
        <v>183</v>
      </c>
      <c r="D875" s="259">
        <v>1</v>
      </c>
      <c r="E875" s="799"/>
      <c r="F875" s="260">
        <f t="shared" si="15"/>
        <v>0</v>
      </c>
      <c r="G875" s="96"/>
      <c r="H875" s="97"/>
    </row>
    <row r="876" spans="1:8" ht="15">
      <c r="A876" s="52" t="s">
        <v>982</v>
      </c>
      <c r="B876" s="239" t="s">
        <v>1312</v>
      </c>
      <c r="C876" s="310" t="s">
        <v>1313</v>
      </c>
      <c r="D876" s="259">
        <v>32</v>
      </c>
      <c r="E876" s="799"/>
      <c r="F876" s="260">
        <f t="shared" si="15"/>
        <v>0</v>
      </c>
      <c r="G876" s="96"/>
      <c r="H876" s="97"/>
    </row>
    <row r="877" spans="1:6" ht="15">
      <c r="A877" s="171"/>
      <c r="B877" s="3"/>
      <c r="C877" s="274"/>
      <c r="D877" s="243"/>
      <c r="E877" s="801"/>
      <c r="F877" s="244"/>
    </row>
    <row r="878" spans="1:6" ht="15">
      <c r="A878" s="208"/>
      <c r="B878" s="208" t="s">
        <v>91</v>
      </c>
      <c r="C878" s="367"/>
      <c r="D878" s="148"/>
      <c r="E878" s="787"/>
      <c r="F878" s="148">
        <f>SUM(F844:F877)</f>
        <v>0</v>
      </c>
    </row>
    <row r="881" spans="1:6" ht="15.75">
      <c r="A881" s="414" t="s">
        <v>92</v>
      </c>
      <c r="B881" s="6" t="s">
        <v>119</v>
      </c>
      <c r="C881" s="367"/>
      <c r="D881" s="4"/>
      <c r="E881" s="806"/>
      <c r="F881" s="5"/>
    </row>
    <row r="882" spans="1:6" ht="15">
      <c r="A882" s="328"/>
      <c r="B882" s="39" t="s">
        <v>30</v>
      </c>
      <c r="C882" s="294"/>
      <c r="D882" s="2"/>
      <c r="E882" s="807"/>
      <c r="F882" s="7"/>
    </row>
    <row r="883" spans="1:6" ht="15">
      <c r="A883" s="52"/>
      <c r="B883" s="40" t="s">
        <v>31</v>
      </c>
      <c r="C883" s="294"/>
      <c r="D883" s="2"/>
      <c r="E883" s="807"/>
      <c r="F883" s="7"/>
    </row>
    <row r="884" spans="1:6" ht="22.5">
      <c r="A884" s="52" t="s">
        <v>25</v>
      </c>
      <c r="B884" s="40" t="s">
        <v>154</v>
      </c>
      <c r="C884" s="294"/>
      <c r="D884" s="2"/>
      <c r="E884" s="807"/>
      <c r="F884" s="7"/>
    </row>
    <row r="885" spans="1:6" ht="15">
      <c r="A885" s="52" t="s">
        <v>26</v>
      </c>
      <c r="B885" s="40" t="s">
        <v>56</v>
      </c>
      <c r="C885" s="294"/>
      <c r="D885" s="2"/>
      <c r="E885" s="807"/>
      <c r="F885" s="7"/>
    </row>
    <row r="886" spans="1:6" ht="15">
      <c r="A886" s="52" t="s">
        <v>1</v>
      </c>
      <c r="B886" s="40" t="s">
        <v>45</v>
      </c>
      <c r="C886" s="294"/>
      <c r="D886" s="2"/>
      <c r="E886" s="807"/>
      <c r="F886" s="7"/>
    </row>
    <row r="887" spans="1:6" ht="15">
      <c r="A887" s="52" t="s">
        <v>2</v>
      </c>
      <c r="B887" s="40" t="s">
        <v>46</v>
      </c>
      <c r="C887" s="294"/>
      <c r="D887" s="2"/>
      <c r="E887" s="807"/>
      <c r="F887" s="7"/>
    </row>
    <row r="888" spans="1:6" ht="15">
      <c r="A888" s="52" t="s">
        <v>3</v>
      </c>
      <c r="B888" s="40" t="s">
        <v>57</v>
      </c>
      <c r="C888" s="294"/>
      <c r="D888" s="2"/>
      <c r="E888" s="807"/>
      <c r="F888" s="7"/>
    </row>
    <row r="889" spans="1:6" ht="15">
      <c r="A889" s="52" t="s">
        <v>4</v>
      </c>
      <c r="B889" s="40" t="s">
        <v>47</v>
      </c>
      <c r="C889" s="294"/>
      <c r="D889" s="2"/>
      <c r="E889" s="807"/>
      <c r="F889" s="7"/>
    </row>
    <row r="890" spans="1:6" ht="15">
      <c r="A890" s="52" t="s">
        <v>5</v>
      </c>
      <c r="B890" s="40" t="s">
        <v>0</v>
      </c>
      <c r="C890" s="294"/>
      <c r="D890" s="2"/>
      <c r="E890" s="807"/>
      <c r="F890" s="7"/>
    </row>
    <row r="891" spans="1:6" ht="33.75">
      <c r="A891" s="52" t="s">
        <v>8</v>
      </c>
      <c r="B891" s="40" t="s">
        <v>53</v>
      </c>
      <c r="C891" s="294"/>
      <c r="D891" s="2"/>
      <c r="E891" s="807"/>
      <c r="F891" s="7"/>
    </row>
    <row r="892" spans="1:6" ht="15">
      <c r="A892" s="52" t="s">
        <v>10</v>
      </c>
      <c r="B892" s="40" t="s">
        <v>60</v>
      </c>
      <c r="C892" s="294"/>
      <c r="D892" s="2"/>
      <c r="E892" s="807"/>
      <c r="F892" s="7"/>
    </row>
    <row r="893" spans="1:6" ht="22.5">
      <c r="A893" s="52" t="s">
        <v>11</v>
      </c>
      <c r="B893" s="40" t="s">
        <v>58</v>
      </c>
      <c r="C893" s="294"/>
      <c r="D893" s="2"/>
      <c r="E893" s="807"/>
      <c r="F893" s="7"/>
    </row>
    <row r="894" spans="1:6" ht="309.75" customHeight="1">
      <c r="A894" s="52"/>
      <c r="B894" s="60" t="s">
        <v>141</v>
      </c>
      <c r="C894" s="294"/>
      <c r="D894" s="2"/>
      <c r="E894" s="807"/>
      <c r="F894" s="7"/>
    </row>
    <row r="895" spans="1:6" ht="22.5">
      <c r="A895" s="52" t="s">
        <v>27</v>
      </c>
      <c r="B895" s="38" t="s">
        <v>43</v>
      </c>
      <c r="C895" s="294"/>
      <c r="D895" s="2"/>
      <c r="E895" s="825"/>
      <c r="F895" s="7"/>
    </row>
    <row r="896" spans="1:6" ht="15">
      <c r="A896" s="52"/>
      <c r="B896" s="235"/>
      <c r="C896" s="310"/>
      <c r="D896" s="2"/>
      <c r="E896" s="825"/>
      <c r="F896" s="8"/>
    </row>
    <row r="897" spans="1:6" ht="90">
      <c r="A897" s="52" t="s">
        <v>750</v>
      </c>
      <c r="B897" s="239" t="s">
        <v>1192</v>
      </c>
      <c r="C897" s="310" t="s">
        <v>183</v>
      </c>
      <c r="D897" s="2">
        <f>28+25</f>
        <v>53</v>
      </c>
      <c r="E897" s="827"/>
      <c r="F897" s="8">
        <f>+D897*E897</f>
        <v>0</v>
      </c>
    </row>
    <row r="898" spans="1:6" ht="90">
      <c r="A898" s="52" t="s">
        <v>751</v>
      </c>
      <c r="B898" s="239" t="s">
        <v>1248</v>
      </c>
      <c r="C898" s="310" t="s">
        <v>183</v>
      </c>
      <c r="D898" s="2">
        <v>31</v>
      </c>
      <c r="E898" s="827"/>
      <c r="F898" s="8">
        <f>+D898*E898</f>
        <v>0</v>
      </c>
    </row>
    <row r="899" spans="1:6" ht="156">
      <c r="A899" s="52" t="s">
        <v>752</v>
      </c>
      <c r="B899" s="239" t="s">
        <v>1193</v>
      </c>
      <c r="C899" s="310" t="s">
        <v>183</v>
      </c>
      <c r="D899" s="2">
        <v>23</v>
      </c>
      <c r="E899" s="827"/>
      <c r="F899" s="8">
        <f>+D899*E899</f>
        <v>0</v>
      </c>
    </row>
    <row r="900" spans="1:6" ht="126">
      <c r="A900" s="52" t="s">
        <v>753</v>
      </c>
      <c r="B900" s="90" t="s">
        <v>1194</v>
      </c>
      <c r="C900" s="310" t="s">
        <v>183</v>
      </c>
      <c r="D900" s="2">
        <v>6</v>
      </c>
      <c r="E900" s="827"/>
      <c r="F900" s="8">
        <f>+D900*E900</f>
        <v>0</v>
      </c>
    </row>
    <row r="901" spans="1:6" ht="30">
      <c r="A901" s="52"/>
      <c r="B901" s="397" t="s">
        <v>1269</v>
      </c>
      <c r="C901" s="310"/>
      <c r="D901" s="2"/>
      <c r="E901" s="827"/>
      <c r="F901" s="8"/>
    </row>
    <row r="902" spans="1:6" ht="90">
      <c r="A902" s="52"/>
      <c r="B902" s="408" t="s">
        <v>1270</v>
      </c>
      <c r="C902" s="310"/>
      <c r="D902" s="2"/>
      <c r="E902" s="827"/>
      <c r="F902" s="8"/>
    </row>
    <row r="903" spans="1:6" ht="15">
      <c r="A903" s="52"/>
      <c r="B903" s="398" t="s">
        <v>1271</v>
      </c>
      <c r="C903" s="310" t="s">
        <v>183</v>
      </c>
      <c r="D903" s="2">
        <v>1</v>
      </c>
      <c r="E903" s="827"/>
      <c r="F903" s="8">
        <f>+D903*E903</f>
        <v>0</v>
      </c>
    </row>
    <row r="904" spans="1:6" ht="15">
      <c r="A904" s="52"/>
      <c r="B904" s="398" t="s">
        <v>1265</v>
      </c>
      <c r="C904" s="310" t="s">
        <v>183</v>
      </c>
      <c r="D904" s="2">
        <v>1</v>
      </c>
      <c r="E904" s="827"/>
      <c r="F904" s="8">
        <f>+D904*E904</f>
        <v>0</v>
      </c>
    </row>
    <row r="905" spans="1:6" ht="131.25" customHeight="1">
      <c r="A905" s="52" t="s">
        <v>803</v>
      </c>
      <c r="B905" s="90" t="s">
        <v>1195</v>
      </c>
      <c r="C905" s="310" t="s">
        <v>183</v>
      </c>
      <c r="D905" s="2">
        <v>1</v>
      </c>
      <c r="E905" s="827"/>
      <c r="F905" s="8">
        <f>+D905*E905</f>
        <v>0</v>
      </c>
    </row>
    <row r="906" spans="1:6" ht="15.75">
      <c r="A906" s="52"/>
      <c r="B906" s="237" t="s">
        <v>1267</v>
      </c>
      <c r="C906" s="310"/>
      <c r="D906" s="2"/>
      <c r="E906" s="827"/>
      <c r="F906" s="8"/>
    </row>
    <row r="907" spans="1:6" ht="110.25">
      <c r="A907" s="52"/>
      <c r="B907" s="393" t="s">
        <v>1262</v>
      </c>
      <c r="C907" s="310"/>
      <c r="D907" s="2"/>
      <c r="E907" s="827"/>
      <c r="F907" s="8"/>
    </row>
    <row r="908" spans="1:6" ht="15.75">
      <c r="A908" s="52"/>
      <c r="B908" s="394" t="s">
        <v>1263</v>
      </c>
      <c r="C908" s="310" t="s">
        <v>183</v>
      </c>
      <c r="D908" s="2">
        <v>1</v>
      </c>
      <c r="E908" s="827"/>
      <c r="F908" s="8">
        <f>+D908*E908</f>
        <v>0</v>
      </c>
    </row>
    <row r="909" spans="1:6" ht="15.75">
      <c r="A909" s="52"/>
      <c r="B909" s="394" t="s">
        <v>1264</v>
      </c>
      <c r="C909" s="310" t="s">
        <v>183</v>
      </c>
      <c r="D909" s="2">
        <v>1</v>
      </c>
      <c r="E909" s="827"/>
      <c r="F909" s="8">
        <f>+D909*E909</f>
        <v>0</v>
      </c>
    </row>
    <row r="910" spans="1:6" ht="15.75">
      <c r="A910" s="52"/>
      <c r="B910" s="394" t="s">
        <v>1265</v>
      </c>
      <c r="C910" s="310" t="s">
        <v>183</v>
      </c>
      <c r="D910" s="2">
        <v>1</v>
      </c>
      <c r="E910" s="827"/>
      <c r="F910" s="8">
        <f>+D910*E910</f>
        <v>0</v>
      </c>
    </row>
    <row r="911" spans="1:6" ht="115.5" customHeight="1">
      <c r="A911" s="52" t="s">
        <v>804</v>
      </c>
      <c r="B911" s="90" t="s">
        <v>1303</v>
      </c>
      <c r="C911" s="310" t="s">
        <v>183</v>
      </c>
      <c r="D911" s="2">
        <v>1</v>
      </c>
      <c r="E911" s="827"/>
      <c r="F911" s="8">
        <f>+D911*E911</f>
        <v>0</v>
      </c>
    </row>
    <row r="912" spans="1:6" ht="15">
      <c r="A912" s="52"/>
      <c r="B912" s="390" t="s">
        <v>1266</v>
      </c>
      <c r="C912" s="310"/>
      <c r="D912" s="2"/>
      <c r="E912" s="825"/>
      <c r="F912" s="8"/>
    </row>
    <row r="913" spans="1:6" ht="90">
      <c r="A913" s="52"/>
      <c r="B913" s="391" t="s">
        <v>1262</v>
      </c>
      <c r="C913" s="310"/>
      <c r="D913" s="2"/>
      <c r="E913" s="827"/>
      <c r="F913" s="8"/>
    </row>
    <row r="914" spans="1:6" ht="15">
      <c r="A914" s="52"/>
      <c r="B914" s="392" t="s">
        <v>1263</v>
      </c>
      <c r="C914" s="310" t="s">
        <v>183</v>
      </c>
      <c r="D914" s="2">
        <v>1</v>
      </c>
      <c r="E914" s="827"/>
      <c r="F914" s="8">
        <f>+D914*E914</f>
        <v>0</v>
      </c>
    </row>
    <row r="915" spans="1:6" ht="15">
      <c r="A915" s="52"/>
      <c r="B915" s="392" t="s">
        <v>1264</v>
      </c>
      <c r="C915" s="310" t="s">
        <v>183</v>
      </c>
      <c r="D915" s="2">
        <v>1</v>
      </c>
      <c r="E915" s="827"/>
      <c r="F915" s="8">
        <f>+D915*E915</f>
        <v>0</v>
      </c>
    </row>
    <row r="916" spans="1:6" ht="15">
      <c r="A916" s="52"/>
      <c r="B916" s="392" t="s">
        <v>1265</v>
      </c>
      <c r="C916" s="310" t="s">
        <v>183</v>
      </c>
      <c r="D916" s="2">
        <v>1</v>
      </c>
      <c r="E916" s="827"/>
      <c r="F916" s="8">
        <f>+D916*E916</f>
        <v>0</v>
      </c>
    </row>
    <row r="917" spans="1:6" ht="129" customHeight="1">
      <c r="A917" s="52" t="s">
        <v>805</v>
      </c>
      <c r="B917" s="90" t="s">
        <v>1196</v>
      </c>
      <c r="C917" s="310" t="s">
        <v>183</v>
      </c>
      <c r="D917" s="2">
        <v>1</v>
      </c>
      <c r="E917" s="827"/>
      <c r="F917" s="8">
        <f>+D917*E917</f>
        <v>0</v>
      </c>
    </row>
    <row r="918" spans="1:6" ht="15">
      <c r="A918" s="52"/>
      <c r="B918" s="395" t="s">
        <v>1268</v>
      </c>
      <c r="C918" s="310"/>
      <c r="D918" s="2"/>
      <c r="E918" s="825"/>
      <c r="F918" s="8"/>
    </row>
    <row r="919" spans="1:6" ht="93.75" customHeight="1">
      <c r="A919" s="52"/>
      <c r="B919" s="240" t="s">
        <v>1262</v>
      </c>
      <c r="C919" s="310"/>
      <c r="D919" s="2"/>
      <c r="E919" s="827"/>
      <c r="F919" s="8"/>
    </row>
    <row r="920" spans="1:6" ht="15">
      <c r="A920" s="52"/>
      <c r="B920" s="396" t="s">
        <v>1263</v>
      </c>
      <c r="C920" s="310" t="s">
        <v>183</v>
      </c>
      <c r="D920" s="2">
        <v>1</v>
      </c>
      <c r="E920" s="827"/>
      <c r="F920" s="8">
        <f>+D920*E920</f>
        <v>0</v>
      </c>
    </row>
    <row r="921" spans="1:6" ht="15">
      <c r="A921" s="52"/>
      <c r="B921" s="396" t="s">
        <v>1264</v>
      </c>
      <c r="C921" s="310" t="s">
        <v>183</v>
      </c>
      <c r="D921" s="2">
        <v>1</v>
      </c>
      <c r="E921" s="827"/>
      <c r="F921" s="8">
        <f>+D921*E921</f>
        <v>0</v>
      </c>
    </row>
    <row r="922" spans="1:6" ht="15">
      <c r="A922" s="52"/>
      <c r="B922" s="396" t="s">
        <v>1265</v>
      </c>
      <c r="C922" s="310" t="s">
        <v>183</v>
      </c>
      <c r="D922" s="2">
        <v>1</v>
      </c>
      <c r="E922" s="827"/>
      <c r="F922" s="8">
        <f>+D922*E922</f>
        <v>0</v>
      </c>
    </row>
    <row r="923" spans="1:6" ht="105">
      <c r="A923" s="52" t="s">
        <v>807</v>
      </c>
      <c r="B923" s="239" t="s">
        <v>1197</v>
      </c>
      <c r="C923" s="310" t="s">
        <v>183</v>
      </c>
      <c r="D923" s="2">
        <v>3</v>
      </c>
      <c r="E923" s="827"/>
      <c r="F923" s="8">
        <f>+D923*E923</f>
        <v>0</v>
      </c>
    </row>
    <row r="924" spans="1:6" ht="113.25" customHeight="1">
      <c r="A924" s="52" t="s">
        <v>808</v>
      </c>
      <c r="B924" s="239" t="s">
        <v>1249</v>
      </c>
      <c r="C924" s="310" t="s">
        <v>183</v>
      </c>
      <c r="D924" s="2">
        <v>2</v>
      </c>
      <c r="E924" s="827"/>
      <c r="F924" s="8">
        <f>+D924*E924</f>
        <v>0</v>
      </c>
    </row>
    <row r="925" spans="1:6" ht="30">
      <c r="A925" s="52"/>
      <c r="B925" s="395" t="s">
        <v>1286</v>
      </c>
      <c r="C925" s="310"/>
      <c r="D925" s="2"/>
      <c r="E925" s="827"/>
      <c r="F925" s="8"/>
    </row>
    <row r="926" spans="1:6" ht="90">
      <c r="A926" s="52"/>
      <c r="B926" s="240" t="s">
        <v>1262</v>
      </c>
      <c r="C926" s="310"/>
      <c r="D926" s="2"/>
      <c r="E926" s="827"/>
      <c r="F926" s="8"/>
    </row>
    <row r="927" spans="1:6" ht="15">
      <c r="A927" s="52"/>
      <c r="B927" s="396" t="s">
        <v>1263</v>
      </c>
      <c r="C927" s="310" t="s">
        <v>183</v>
      </c>
      <c r="D927" s="2">
        <v>1</v>
      </c>
      <c r="E927" s="827"/>
      <c r="F927" s="8">
        <f aca="true" t="shared" si="16" ref="F927:F940">+D927*E927</f>
        <v>0</v>
      </c>
    </row>
    <row r="928" spans="1:6" ht="15">
      <c r="A928" s="52"/>
      <c r="B928" s="396" t="s">
        <v>1264</v>
      </c>
      <c r="C928" s="310" t="s">
        <v>183</v>
      </c>
      <c r="D928" s="2">
        <v>1</v>
      </c>
      <c r="E928" s="827"/>
      <c r="F928" s="8">
        <f t="shared" si="16"/>
        <v>0</v>
      </c>
    </row>
    <row r="929" spans="1:6" ht="15">
      <c r="A929" s="52"/>
      <c r="B929" s="396" t="s">
        <v>1265</v>
      </c>
      <c r="C929" s="310" t="s">
        <v>183</v>
      </c>
      <c r="D929" s="2">
        <v>1</v>
      </c>
      <c r="E929" s="827"/>
      <c r="F929" s="8">
        <f t="shared" si="16"/>
        <v>0</v>
      </c>
    </row>
    <row r="930" spans="1:6" ht="90">
      <c r="A930" s="52" t="s">
        <v>812</v>
      </c>
      <c r="B930" s="239" t="s">
        <v>1250</v>
      </c>
      <c r="C930" s="310" t="s">
        <v>183</v>
      </c>
      <c r="D930" s="2">
        <v>4</v>
      </c>
      <c r="E930" s="827"/>
      <c r="F930" s="8">
        <f t="shared" si="16"/>
        <v>0</v>
      </c>
    </row>
    <row r="931" spans="1:6" ht="126">
      <c r="A931" s="52" t="s">
        <v>813</v>
      </c>
      <c r="B931" s="239" t="s">
        <v>1198</v>
      </c>
      <c r="C931" s="310" t="s">
        <v>183</v>
      </c>
      <c r="D931" s="2">
        <v>2</v>
      </c>
      <c r="E931" s="827"/>
      <c r="F931" s="8">
        <f t="shared" si="16"/>
        <v>0</v>
      </c>
    </row>
    <row r="932" spans="1:6" ht="156">
      <c r="A932" s="52" t="s">
        <v>814</v>
      </c>
      <c r="B932" s="239" t="s">
        <v>1199</v>
      </c>
      <c r="C932" s="310" t="s">
        <v>183</v>
      </c>
      <c r="D932" s="2">
        <v>24</v>
      </c>
      <c r="E932" s="827"/>
      <c r="F932" s="8">
        <f t="shared" si="16"/>
        <v>0</v>
      </c>
    </row>
    <row r="933" spans="1:6" ht="156">
      <c r="A933" s="52" t="s">
        <v>819</v>
      </c>
      <c r="B933" s="239" t="s">
        <v>1200</v>
      </c>
      <c r="C933" s="310" t="s">
        <v>183</v>
      </c>
      <c r="D933" s="2">
        <v>20</v>
      </c>
      <c r="E933" s="827"/>
      <c r="F933" s="8">
        <f t="shared" si="16"/>
        <v>0</v>
      </c>
    </row>
    <row r="934" spans="1:6" ht="156">
      <c r="A934" s="52" t="s">
        <v>820</v>
      </c>
      <c r="B934" s="239" t="s">
        <v>1201</v>
      </c>
      <c r="C934" s="310" t="s">
        <v>183</v>
      </c>
      <c r="D934" s="2">
        <v>9</v>
      </c>
      <c r="E934" s="827"/>
      <c r="F934" s="8">
        <f t="shared" si="16"/>
        <v>0</v>
      </c>
    </row>
    <row r="935" spans="1:6" ht="156">
      <c r="A935" s="52" t="s">
        <v>821</v>
      </c>
      <c r="B935" s="239" t="s">
        <v>1202</v>
      </c>
      <c r="C935" s="310" t="s">
        <v>183</v>
      </c>
      <c r="D935" s="2">
        <v>4</v>
      </c>
      <c r="E935" s="827"/>
      <c r="F935" s="8">
        <f t="shared" si="16"/>
        <v>0</v>
      </c>
    </row>
    <row r="936" spans="1:6" ht="156">
      <c r="A936" s="52" t="s">
        <v>822</v>
      </c>
      <c r="B936" s="239" t="s">
        <v>1203</v>
      </c>
      <c r="C936" s="310" t="s">
        <v>183</v>
      </c>
      <c r="D936" s="2">
        <v>11</v>
      </c>
      <c r="E936" s="827"/>
      <c r="F936" s="8">
        <f t="shared" si="16"/>
        <v>0</v>
      </c>
    </row>
    <row r="937" spans="1:6" ht="138.75">
      <c r="A937" s="52" t="s">
        <v>823</v>
      </c>
      <c r="B937" s="239" t="s">
        <v>1251</v>
      </c>
      <c r="C937" s="310" t="s">
        <v>183</v>
      </c>
      <c r="D937" s="2">
        <v>2</v>
      </c>
      <c r="E937" s="827"/>
      <c r="F937" s="8">
        <f t="shared" si="16"/>
        <v>0</v>
      </c>
    </row>
    <row r="938" spans="1:6" ht="137.25">
      <c r="A938" s="52" t="s">
        <v>824</v>
      </c>
      <c r="B938" s="239" t="s">
        <v>1252</v>
      </c>
      <c r="C938" s="310" t="s">
        <v>183</v>
      </c>
      <c r="D938" s="2">
        <v>1</v>
      </c>
      <c r="E938" s="827"/>
      <c r="F938" s="8">
        <f t="shared" si="16"/>
        <v>0</v>
      </c>
    </row>
    <row r="939" spans="1:6" ht="150">
      <c r="A939" s="52" t="s">
        <v>825</v>
      </c>
      <c r="B939" s="239" t="s">
        <v>1300</v>
      </c>
      <c r="C939" s="310" t="s">
        <v>183</v>
      </c>
      <c r="D939" s="2">
        <v>1</v>
      </c>
      <c r="E939" s="828"/>
      <c r="F939" s="8">
        <f t="shared" si="16"/>
        <v>0</v>
      </c>
    </row>
    <row r="940" spans="1:6" ht="135.75">
      <c r="A940" s="52" t="s">
        <v>1301</v>
      </c>
      <c r="B940" s="239" t="s">
        <v>1302</v>
      </c>
      <c r="C940" s="310" t="s">
        <v>748</v>
      </c>
      <c r="D940" s="2">
        <v>1</v>
      </c>
      <c r="E940" s="828"/>
      <c r="F940" s="8">
        <f t="shared" si="16"/>
        <v>0</v>
      </c>
    </row>
    <row r="941" spans="1:6" ht="15">
      <c r="A941" s="52"/>
      <c r="B941" s="239"/>
      <c r="C941" s="310"/>
      <c r="D941" s="2"/>
      <c r="E941" s="825"/>
      <c r="F941" s="8"/>
    </row>
    <row r="942" spans="1:6" ht="15">
      <c r="A942" s="336"/>
      <c r="B942" s="208" t="s">
        <v>133</v>
      </c>
      <c r="C942" s="367"/>
      <c r="D942" s="4"/>
      <c r="E942" s="806"/>
      <c r="F942" s="4">
        <f>SUM(F882:F941)</f>
        <v>0</v>
      </c>
    </row>
    <row r="945" spans="1:6" ht="15.75">
      <c r="A945" s="406" t="s">
        <v>404</v>
      </c>
      <c r="B945" s="6" t="s">
        <v>800</v>
      </c>
      <c r="C945" s="367"/>
      <c r="D945" s="152"/>
      <c r="E945" s="803"/>
      <c r="F945" s="153"/>
    </row>
    <row r="946" spans="1:6" ht="15">
      <c r="A946" s="337"/>
      <c r="B946" s="65" t="s">
        <v>30</v>
      </c>
      <c r="C946" s="273"/>
      <c r="D946" s="161"/>
      <c r="E946" s="784"/>
      <c r="F946" s="154"/>
    </row>
    <row r="947" spans="1:6" ht="15">
      <c r="A947" s="52" t="s">
        <v>25</v>
      </c>
      <c r="B947" s="40" t="s">
        <v>31</v>
      </c>
      <c r="C947" s="273"/>
      <c r="D947" s="161"/>
      <c r="E947" s="784"/>
      <c r="F947" s="154"/>
    </row>
    <row r="948" spans="1:6" ht="15">
      <c r="A948" s="52" t="s">
        <v>26</v>
      </c>
      <c r="B948" s="40" t="s">
        <v>6</v>
      </c>
      <c r="C948" s="273"/>
      <c r="D948" s="161"/>
      <c r="E948" s="784"/>
      <c r="F948" s="154"/>
    </row>
    <row r="949" spans="1:6" ht="15">
      <c r="A949" s="52" t="s">
        <v>1</v>
      </c>
      <c r="B949" s="40" t="s">
        <v>15</v>
      </c>
      <c r="C949" s="273"/>
      <c r="D949" s="161"/>
      <c r="E949" s="784"/>
      <c r="F949" s="154"/>
    </row>
    <row r="950" spans="1:6" ht="15">
      <c r="A950" s="52" t="s">
        <v>2</v>
      </c>
      <c r="B950" s="40" t="s">
        <v>16</v>
      </c>
      <c r="C950" s="273"/>
      <c r="D950" s="161"/>
      <c r="E950" s="784"/>
      <c r="F950" s="154"/>
    </row>
    <row r="951" spans="1:6" ht="15">
      <c r="A951" s="52" t="s">
        <v>3</v>
      </c>
      <c r="B951" s="40" t="s">
        <v>17</v>
      </c>
      <c r="C951" s="273"/>
      <c r="D951" s="161"/>
      <c r="E951" s="784"/>
      <c r="F951" s="154"/>
    </row>
    <row r="952" spans="1:6" ht="15">
      <c r="A952" s="52" t="s">
        <v>4</v>
      </c>
      <c r="B952" s="40" t="s">
        <v>18</v>
      </c>
      <c r="C952" s="273"/>
      <c r="D952" s="161"/>
      <c r="E952" s="784"/>
      <c r="F952" s="154"/>
    </row>
    <row r="953" spans="1:6" ht="22.5">
      <c r="A953" s="52" t="s">
        <v>5</v>
      </c>
      <c r="B953" s="40" t="s">
        <v>9</v>
      </c>
      <c r="C953" s="273"/>
      <c r="D953" s="161"/>
      <c r="E953" s="784"/>
      <c r="F953" s="154"/>
    </row>
    <row r="954" spans="1:6" ht="15">
      <c r="A954" s="52" t="s">
        <v>8</v>
      </c>
      <c r="B954" s="40" t="s">
        <v>61</v>
      </c>
      <c r="C954" s="273"/>
      <c r="D954" s="161"/>
      <c r="E954" s="784"/>
      <c r="F954" s="154"/>
    </row>
    <row r="955" spans="1:6" ht="15">
      <c r="A955" s="52" t="s">
        <v>10</v>
      </c>
      <c r="B955" s="40" t="s">
        <v>19</v>
      </c>
      <c r="C955" s="273"/>
      <c r="D955" s="161"/>
      <c r="E955" s="784"/>
      <c r="F955" s="154"/>
    </row>
    <row r="956" spans="1:6" ht="22.5">
      <c r="A956" s="52" t="s">
        <v>11</v>
      </c>
      <c r="B956" s="40" t="s">
        <v>20</v>
      </c>
      <c r="C956" s="273"/>
      <c r="D956" s="161"/>
      <c r="E956" s="784"/>
      <c r="F956" s="154"/>
    </row>
    <row r="957" spans="1:6" ht="15">
      <c r="A957" s="52" t="s">
        <v>27</v>
      </c>
      <c r="B957" s="40" t="s">
        <v>144</v>
      </c>
      <c r="C957" s="273"/>
      <c r="D957" s="161"/>
      <c r="E957" s="784"/>
      <c r="F957" s="154"/>
    </row>
    <row r="958" spans="1:6" ht="15">
      <c r="A958" s="52" t="s">
        <v>28</v>
      </c>
      <c r="B958" s="40" t="s">
        <v>62</v>
      </c>
      <c r="C958" s="273"/>
      <c r="D958" s="161"/>
      <c r="E958" s="784"/>
      <c r="F958" s="154"/>
    </row>
    <row r="959" spans="1:6" ht="15">
      <c r="A959" s="52" t="s">
        <v>1</v>
      </c>
      <c r="B959" s="40" t="s">
        <v>145</v>
      </c>
      <c r="C959" s="273"/>
      <c r="D959" s="161"/>
      <c r="E959" s="784"/>
      <c r="F959" s="154"/>
    </row>
    <row r="960" spans="1:6" ht="15">
      <c r="A960" s="52" t="s">
        <v>2</v>
      </c>
      <c r="B960" s="40" t="s">
        <v>146</v>
      </c>
      <c r="C960" s="273"/>
      <c r="D960" s="161"/>
      <c r="E960" s="784"/>
      <c r="F960" s="154"/>
    </row>
    <row r="961" spans="1:6" ht="15">
      <c r="A961" s="52" t="s">
        <v>3</v>
      </c>
      <c r="B961" s="40" t="s">
        <v>63</v>
      </c>
      <c r="C961" s="273"/>
      <c r="D961" s="161"/>
      <c r="E961" s="784"/>
      <c r="F961" s="154"/>
    </row>
    <row r="962" spans="1:6" ht="15">
      <c r="A962" s="52" t="s">
        <v>4</v>
      </c>
      <c r="B962" s="40" t="s">
        <v>147</v>
      </c>
      <c r="C962" s="273"/>
      <c r="D962" s="161"/>
      <c r="E962" s="784"/>
      <c r="F962" s="154"/>
    </row>
    <row r="963" spans="1:6" ht="15">
      <c r="A963" s="52" t="s">
        <v>5</v>
      </c>
      <c r="B963" s="40" t="s">
        <v>148</v>
      </c>
      <c r="C963" s="273"/>
      <c r="D963" s="161"/>
      <c r="E963" s="784"/>
      <c r="F963" s="154"/>
    </row>
    <row r="964" spans="1:6" ht="33.75">
      <c r="A964" s="52" t="s">
        <v>29</v>
      </c>
      <c r="B964" s="40" t="s">
        <v>64</v>
      </c>
      <c r="C964" s="273"/>
      <c r="D964" s="161"/>
      <c r="E964" s="784"/>
      <c r="F964" s="154"/>
    </row>
    <row r="965" spans="1:6" ht="22.5">
      <c r="A965" s="52" t="s">
        <v>32</v>
      </c>
      <c r="B965" s="40" t="s">
        <v>152</v>
      </c>
      <c r="C965" s="273"/>
      <c r="D965" s="161"/>
      <c r="E965" s="784"/>
      <c r="F965" s="154"/>
    </row>
    <row r="966" spans="1:6" ht="46.5">
      <c r="A966" s="52" t="s">
        <v>33</v>
      </c>
      <c r="B966" s="40" t="s">
        <v>149</v>
      </c>
      <c r="C966" s="273"/>
      <c r="D966" s="161"/>
      <c r="E966" s="784"/>
      <c r="F966" s="154"/>
    </row>
    <row r="967" spans="1:6" ht="22.5">
      <c r="A967" s="52"/>
      <c r="B967" s="66" t="s">
        <v>94</v>
      </c>
      <c r="C967" s="273"/>
      <c r="D967" s="161"/>
      <c r="E967" s="784"/>
      <c r="F967" s="154"/>
    </row>
    <row r="968" spans="1:6" ht="22.5">
      <c r="A968" s="52"/>
      <c r="B968" s="66" t="s">
        <v>65</v>
      </c>
      <c r="C968" s="273"/>
      <c r="D968" s="161"/>
      <c r="E968" s="784"/>
      <c r="F968" s="154"/>
    </row>
    <row r="969" spans="1:6" ht="15">
      <c r="A969" s="52"/>
      <c r="B969" s="66" t="s">
        <v>75</v>
      </c>
      <c r="C969" s="273"/>
      <c r="D969" s="161"/>
      <c r="E969" s="784"/>
      <c r="F969" s="154"/>
    </row>
    <row r="970" spans="1:6" ht="307.5" customHeight="1">
      <c r="A970" s="52"/>
      <c r="B970" s="60" t="s">
        <v>141</v>
      </c>
      <c r="C970" s="273"/>
      <c r="D970" s="161"/>
      <c r="E970" s="784"/>
      <c r="F970" s="154"/>
    </row>
    <row r="971" spans="1:6" ht="22.5">
      <c r="A971" s="52" t="s">
        <v>27</v>
      </c>
      <c r="B971" s="38" t="s">
        <v>43</v>
      </c>
      <c r="C971" s="294"/>
      <c r="D971" s="2"/>
      <c r="E971" s="825"/>
      <c r="F971" s="7"/>
    </row>
    <row r="972" spans="1:6" ht="15">
      <c r="A972" s="52"/>
      <c r="B972" s="295"/>
      <c r="C972" s="294"/>
      <c r="D972" s="296"/>
      <c r="E972" s="829"/>
      <c r="F972" s="283"/>
    </row>
    <row r="973" spans="1:6" ht="180">
      <c r="A973" s="52" t="s">
        <v>983</v>
      </c>
      <c r="B973" s="295" t="s">
        <v>985</v>
      </c>
      <c r="C973" s="294" t="s">
        <v>1072</v>
      </c>
      <c r="D973" s="296">
        <f>67.1+26.62+26.62+26.62+26.62+20.12</f>
        <v>193.70000000000002</v>
      </c>
      <c r="E973" s="830"/>
      <c r="F973" s="283">
        <f>+D973*E973</f>
        <v>0</v>
      </c>
    </row>
    <row r="974" spans="1:6" ht="165">
      <c r="A974" s="52" t="s">
        <v>984</v>
      </c>
      <c r="B974" s="295" t="s">
        <v>986</v>
      </c>
      <c r="C974" s="294" t="s">
        <v>1072</v>
      </c>
      <c r="D974" s="296">
        <f>26.62+40.07+39.83+39.83+39.83+26.52</f>
        <v>212.70000000000002</v>
      </c>
      <c r="E974" s="830"/>
      <c r="F974" s="283">
        <f>+D974*E974</f>
        <v>0</v>
      </c>
    </row>
    <row r="975" spans="1:6" ht="32.25">
      <c r="A975" s="52" t="s">
        <v>987</v>
      </c>
      <c r="B975" s="295" t="s">
        <v>988</v>
      </c>
      <c r="C975" s="294"/>
      <c r="D975" s="296"/>
      <c r="E975" s="829"/>
      <c r="F975" s="283"/>
    </row>
    <row r="976" spans="1:6" ht="15">
      <c r="A976" s="52" t="s">
        <v>1</v>
      </c>
      <c r="B976" s="295" t="s">
        <v>989</v>
      </c>
      <c r="C976" s="294" t="s">
        <v>183</v>
      </c>
      <c r="D976" s="296">
        <f>6+6+6+6+6+1</f>
        <v>31</v>
      </c>
      <c r="E976" s="830"/>
      <c r="F976" s="283">
        <f aca="true" t="shared" si="17" ref="F976:F987">+D976*E976</f>
        <v>0</v>
      </c>
    </row>
    <row r="977" spans="1:6" ht="15">
      <c r="A977" s="52" t="s">
        <v>2</v>
      </c>
      <c r="B977" s="295" t="s">
        <v>990</v>
      </c>
      <c r="C977" s="294" t="s">
        <v>183</v>
      </c>
      <c r="D977" s="296">
        <f>2+4+4+4+4+3</f>
        <v>21</v>
      </c>
      <c r="E977" s="830"/>
      <c r="F977" s="283">
        <f t="shared" si="17"/>
        <v>0</v>
      </c>
    </row>
    <row r="978" spans="1:6" ht="32.25">
      <c r="A978" s="52" t="s">
        <v>3</v>
      </c>
      <c r="B978" s="295" t="s">
        <v>992</v>
      </c>
      <c r="C978" s="294" t="s">
        <v>183</v>
      </c>
      <c r="D978" s="296">
        <v>4</v>
      </c>
      <c r="E978" s="830"/>
      <c r="F978" s="283">
        <f t="shared" si="17"/>
        <v>0</v>
      </c>
    </row>
    <row r="979" spans="1:6" ht="30">
      <c r="A979" s="52" t="s">
        <v>991</v>
      </c>
      <c r="B979" s="295" t="s">
        <v>993</v>
      </c>
      <c r="C979" s="294" t="s">
        <v>1218</v>
      </c>
      <c r="D979" s="296">
        <v>218.4</v>
      </c>
      <c r="E979" s="830"/>
      <c r="F979" s="283">
        <f t="shared" si="17"/>
        <v>0</v>
      </c>
    </row>
    <row r="980" spans="1:6" ht="120">
      <c r="A980" s="52" t="s">
        <v>994</v>
      </c>
      <c r="B980" s="295" t="s">
        <v>995</v>
      </c>
      <c r="C980" s="294" t="s">
        <v>1072</v>
      </c>
      <c r="D980" s="296">
        <f>139.08+166.92+151.27+151.27+151.27+107.98</f>
        <v>867.79</v>
      </c>
      <c r="E980" s="830"/>
      <c r="F980" s="283">
        <f t="shared" si="17"/>
        <v>0</v>
      </c>
    </row>
    <row r="981" spans="1:6" ht="135">
      <c r="A981" s="52" t="s">
        <v>996</v>
      </c>
      <c r="B981" s="295" t="s">
        <v>997</v>
      </c>
      <c r="C981" s="294" t="s">
        <v>1072</v>
      </c>
      <c r="D981" s="296">
        <f>5.64+2.96+2.96+2.96+2.96+2.96</f>
        <v>20.44</v>
      </c>
      <c r="E981" s="830"/>
      <c r="F981" s="283">
        <f t="shared" si="17"/>
        <v>0</v>
      </c>
    </row>
    <row r="982" spans="1:6" ht="30">
      <c r="A982" s="52" t="s">
        <v>998</v>
      </c>
      <c r="B982" s="295" t="s">
        <v>999</v>
      </c>
      <c r="C982" s="294" t="s">
        <v>1218</v>
      </c>
      <c r="D982" s="296">
        <f>2.4*2+1.26*2*5</f>
        <v>17.4</v>
      </c>
      <c r="E982" s="830"/>
      <c r="F982" s="283">
        <f t="shared" si="17"/>
        <v>0</v>
      </c>
    </row>
    <row r="983" spans="1:6" ht="120">
      <c r="A983" s="52" t="s">
        <v>1000</v>
      </c>
      <c r="B983" s="295" t="s">
        <v>1001</v>
      </c>
      <c r="C983" s="294" t="s">
        <v>1072</v>
      </c>
      <c r="D983" s="296">
        <f>7.91+8.58+5.5</f>
        <v>21.990000000000002</v>
      </c>
      <c r="E983" s="830"/>
      <c r="F983" s="283">
        <f t="shared" si="17"/>
        <v>0</v>
      </c>
    </row>
    <row r="984" spans="1:6" ht="45">
      <c r="A984" s="52" t="s">
        <v>1002</v>
      </c>
      <c r="B984" s="295" t="s">
        <v>1003</v>
      </c>
      <c r="C984" s="294" t="s">
        <v>1072</v>
      </c>
      <c r="D984" s="296">
        <f>3.3+4+3.3+6</f>
        <v>16.6</v>
      </c>
      <c r="E984" s="830"/>
      <c r="F984" s="283">
        <f t="shared" si="17"/>
        <v>0</v>
      </c>
    </row>
    <row r="985" spans="1:6" ht="105">
      <c r="A985" s="52" t="s">
        <v>1004</v>
      </c>
      <c r="B985" s="295" t="s">
        <v>1006</v>
      </c>
      <c r="C985" s="294" t="s">
        <v>1072</v>
      </c>
      <c r="D985" s="296">
        <f>+(1.74*2*2.7)+(1.1*2.7)</f>
        <v>12.366000000000001</v>
      </c>
      <c r="E985" s="830"/>
      <c r="F985" s="283">
        <f t="shared" si="17"/>
        <v>0</v>
      </c>
    </row>
    <row r="986" spans="1:6" ht="67.5" customHeight="1">
      <c r="A986" s="52" t="s">
        <v>1005</v>
      </c>
      <c r="B986" s="295" t="s">
        <v>1007</v>
      </c>
      <c r="C986" s="294" t="s">
        <v>1072</v>
      </c>
      <c r="D986" s="296">
        <f>31.85+3.51</f>
        <v>35.36</v>
      </c>
      <c r="E986" s="830"/>
      <c r="F986" s="283">
        <f t="shared" si="17"/>
        <v>0</v>
      </c>
    </row>
    <row r="987" spans="1:6" ht="108" customHeight="1">
      <c r="A987" s="52" t="s">
        <v>1008</v>
      </c>
      <c r="B987" s="295" t="s">
        <v>1010</v>
      </c>
      <c r="C987" s="294" t="s">
        <v>1072</v>
      </c>
      <c r="D987" s="296">
        <f>1.53*2.6</f>
        <v>3.978</v>
      </c>
      <c r="E987" s="830"/>
      <c r="F987" s="283">
        <f t="shared" si="17"/>
        <v>0</v>
      </c>
    </row>
    <row r="988" spans="1:6" ht="30">
      <c r="A988" s="52" t="s">
        <v>1009</v>
      </c>
      <c r="B988" s="295" t="s">
        <v>1011</v>
      </c>
      <c r="C988" s="294"/>
      <c r="D988" s="296"/>
      <c r="E988" s="829"/>
      <c r="F988" s="283"/>
    </row>
    <row r="989" spans="1:6" ht="45">
      <c r="A989" s="52" t="s">
        <v>1</v>
      </c>
      <c r="B989" s="295" t="s">
        <v>1012</v>
      </c>
      <c r="C989" s="294" t="s">
        <v>1072</v>
      </c>
      <c r="D989" s="296">
        <v>40.82</v>
      </c>
      <c r="E989" s="830"/>
      <c r="F989" s="283">
        <f>+D989*E989</f>
        <v>0</v>
      </c>
    </row>
    <row r="990" spans="1:6" ht="45">
      <c r="A990" s="52" t="s">
        <v>2</v>
      </c>
      <c r="B990" s="295" t="s">
        <v>1013</v>
      </c>
      <c r="C990" s="294" t="s">
        <v>1072</v>
      </c>
      <c r="D990" s="296">
        <v>6.28</v>
      </c>
      <c r="E990" s="830"/>
      <c r="F990" s="283">
        <f>+D990*E990</f>
        <v>0</v>
      </c>
    </row>
    <row r="991" spans="1:6" ht="120">
      <c r="A991" s="52" t="s">
        <v>1014</v>
      </c>
      <c r="B991" s="295" t="s">
        <v>1015</v>
      </c>
      <c r="C991" s="294" t="s">
        <v>1072</v>
      </c>
      <c r="D991" s="296">
        <f>1.74*2*2.6</f>
        <v>9.048</v>
      </c>
      <c r="E991" s="830"/>
      <c r="F991" s="283">
        <f>+D991*E991</f>
        <v>0</v>
      </c>
    </row>
    <row r="992" spans="1:6" ht="15">
      <c r="A992" s="171"/>
      <c r="B992" s="172"/>
      <c r="C992" s="274"/>
      <c r="D992" s="276"/>
      <c r="E992" s="831"/>
      <c r="F992" s="244"/>
    </row>
    <row r="993" spans="1:6" ht="15">
      <c r="A993" s="208"/>
      <c r="B993" s="208" t="s">
        <v>139</v>
      </c>
      <c r="C993" s="367"/>
      <c r="D993" s="148"/>
      <c r="E993" s="787"/>
      <c r="F993" s="148">
        <f>SUM(F946:F992)</f>
        <v>0</v>
      </c>
    </row>
    <row r="996" spans="1:6" ht="15.75">
      <c r="A996" s="414" t="s">
        <v>97</v>
      </c>
      <c r="B996" s="6" t="s">
        <v>121</v>
      </c>
      <c r="C996" s="367"/>
      <c r="D996" s="4"/>
      <c r="E996" s="806"/>
      <c r="F996" s="5"/>
    </row>
    <row r="997" spans="1:6" ht="15">
      <c r="A997" s="328"/>
      <c r="B997" s="36" t="s">
        <v>30</v>
      </c>
      <c r="C997" s="294"/>
      <c r="D997" s="41"/>
      <c r="E997" s="807"/>
      <c r="F997" s="7"/>
    </row>
    <row r="998" spans="1:6" ht="15">
      <c r="A998" s="52" t="s">
        <v>25</v>
      </c>
      <c r="B998" s="40" t="s">
        <v>31</v>
      </c>
      <c r="C998" s="294"/>
      <c r="D998" s="41"/>
      <c r="E998" s="807"/>
      <c r="F998" s="7"/>
    </row>
    <row r="999" spans="1:6" ht="15">
      <c r="A999" s="52" t="s">
        <v>26</v>
      </c>
      <c r="B999" s="40" t="s">
        <v>6</v>
      </c>
      <c r="C999" s="294"/>
      <c r="D999" s="41"/>
      <c r="E999" s="807"/>
      <c r="F999" s="7"/>
    </row>
    <row r="1000" spans="1:6" ht="15">
      <c r="A1000" s="52" t="s">
        <v>1</v>
      </c>
      <c r="B1000" s="40" t="s">
        <v>0</v>
      </c>
      <c r="C1000" s="294"/>
      <c r="D1000" s="41"/>
      <c r="E1000" s="807"/>
      <c r="F1000" s="7"/>
    </row>
    <row r="1001" spans="1:6" ht="15">
      <c r="A1001" s="52" t="s">
        <v>2</v>
      </c>
      <c r="B1001" s="40" t="s">
        <v>13</v>
      </c>
      <c r="C1001" s="294"/>
      <c r="D1001" s="41"/>
      <c r="E1001" s="807"/>
      <c r="F1001" s="7"/>
    </row>
    <row r="1002" spans="1:6" ht="22.5">
      <c r="A1002" s="52" t="s">
        <v>3</v>
      </c>
      <c r="B1002" s="40" t="s">
        <v>9</v>
      </c>
      <c r="C1002" s="294"/>
      <c r="D1002" s="41"/>
      <c r="E1002" s="807"/>
      <c r="F1002" s="7"/>
    </row>
    <row r="1003" spans="1:6" ht="14.25" customHeight="1">
      <c r="A1003" s="52" t="s">
        <v>4</v>
      </c>
      <c r="B1003" s="40" t="s">
        <v>14</v>
      </c>
      <c r="C1003" s="294"/>
      <c r="D1003" s="41"/>
      <c r="E1003" s="807"/>
      <c r="F1003" s="7"/>
    </row>
    <row r="1004" spans="1:6" ht="15">
      <c r="A1004" s="52" t="s">
        <v>5</v>
      </c>
      <c r="B1004" s="40" t="s">
        <v>7</v>
      </c>
      <c r="C1004" s="294"/>
      <c r="D1004" s="41"/>
      <c r="E1004" s="807"/>
      <c r="F1004" s="7"/>
    </row>
    <row r="1005" spans="1:6" ht="308.25" customHeight="1">
      <c r="A1005" s="52"/>
      <c r="B1005" s="60" t="s">
        <v>141</v>
      </c>
      <c r="C1005" s="294"/>
      <c r="D1005" s="41"/>
      <c r="E1005" s="807"/>
      <c r="F1005" s="7"/>
    </row>
    <row r="1006" spans="1:6" ht="22.5">
      <c r="A1006" s="52" t="s">
        <v>27</v>
      </c>
      <c r="B1006" s="38" t="s">
        <v>43</v>
      </c>
      <c r="C1006" s="294"/>
      <c r="D1006" s="2"/>
      <c r="E1006" s="825"/>
      <c r="F1006" s="7"/>
    </row>
    <row r="1007" spans="1:6" ht="15">
      <c r="A1007" s="52"/>
      <c r="B1007" s="306"/>
      <c r="C1007" s="294"/>
      <c r="D1007" s="296"/>
      <c r="E1007" s="829"/>
      <c r="F1007" s="283"/>
    </row>
    <row r="1008" spans="1:6" ht="61.5" customHeight="1">
      <c r="A1008" s="52" t="s">
        <v>1112</v>
      </c>
      <c r="B1008" s="306" t="s">
        <v>1227</v>
      </c>
      <c r="C1008" s="294" t="s">
        <v>1072</v>
      </c>
      <c r="D1008" s="296">
        <f>18.65+21.55+21.55+21.55+21.55+12.85</f>
        <v>117.69999999999999</v>
      </c>
      <c r="E1008" s="830"/>
      <c r="F1008" s="283">
        <f>+D1008*E1008</f>
        <v>0</v>
      </c>
    </row>
    <row r="1009" spans="1:6" ht="30">
      <c r="A1009" s="52" t="s">
        <v>1113</v>
      </c>
      <c r="B1009" s="306" t="s">
        <v>1228</v>
      </c>
      <c r="C1009" s="294" t="s">
        <v>1072</v>
      </c>
      <c r="D1009" s="296">
        <f>46.54+44.41+26.26+39.27+39.27+23.69</f>
        <v>219.44</v>
      </c>
      <c r="E1009" s="830"/>
      <c r="F1009" s="283">
        <f>+D1009*E1009</f>
        <v>0</v>
      </c>
    </row>
    <row r="1010" spans="1:6" ht="30">
      <c r="A1010" s="52" t="s">
        <v>1114</v>
      </c>
      <c r="B1010" s="306" t="s">
        <v>1229</v>
      </c>
      <c r="C1010" s="294" t="s">
        <v>1072</v>
      </c>
      <c r="D1010" s="296">
        <f>23.5+4.55</f>
        <v>28.05</v>
      </c>
      <c r="E1010" s="830"/>
      <c r="F1010" s="283">
        <f>+D1010*E1010</f>
        <v>0</v>
      </c>
    </row>
    <row r="1011" spans="1:6" ht="60">
      <c r="A1011" s="52" t="s">
        <v>1115</v>
      </c>
      <c r="B1011" s="306" t="s">
        <v>1230</v>
      </c>
      <c r="C1011" s="294" t="s">
        <v>1072</v>
      </c>
      <c r="D1011" s="296">
        <f>2.06*0.3*9+0.3*17*1.2</f>
        <v>11.681999999999999</v>
      </c>
      <c r="E1011" s="830"/>
      <c r="F1011" s="283">
        <f>+D1011*E1011</f>
        <v>0</v>
      </c>
    </row>
    <row r="1012" spans="1:6" ht="30">
      <c r="A1012" s="52" t="s">
        <v>1116</v>
      </c>
      <c r="B1012" s="306" t="s">
        <v>1231</v>
      </c>
      <c r="C1012" s="294" t="s">
        <v>1072</v>
      </c>
      <c r="D1012" s="241">
        <f>0.17*2.06*9+0.16*17*1.2</f>
        <v>6.415800000000001</v>
      </c>
      <c r="E1012" s="832"/>
      <c r="F1012" s="283">
        <f>+D1012*E1012</f>
        <v>0</v>
      </c>
    </row>
    <row r="1013" spans="1:6" ht="15">
      <c r="A1013" s="52" t="s">
        <v>1117</v>
      </c>
      <c r="B1013" s="306" t="s">
        <v>1118</v>
      </c>
      <c r="C1013" s="273"/>
      <c r="D1013" s="241"/>
      <c r="E1013" s="798"/>
      <c r="F1013" s="258"/>
    </row>
    <row r="1014" spans="1:6" ht="15.75">
      <c r="A1014" s="52" t="s">
        <v>1</v>
      </c>
      <c r="B1014" s="306" t="s">
        <v>1119</v>
      </c>
      <c r="C1014" s="294" t="s">
        <v>1072</v>
      </c>
      <c r="D1014" s="241">
        <f>3.7*6</f>
        <v>22.200000000000003</v>
      </c>
      <c r="E1014" s="798"/>
      <c r="F1014" s="283">
        <f>+D1014*E1014</f>
        <v>0</v>
      </c>
    </row>
    <row r="1015" spans="1:6" ht="15.75">
      <c r="A1015" s="52" t="s">
        <v>2</v>
      </c>
      <c r="B1015" s="306" t="s">
        <v>1120</v>
      </c>
      <c r="C1015" s="294" t="s">
        <v>1072</v>
      </c>
      <c r="D1015" s="241">
        <f>0.3*1.3*16*5</f>
        <v>31.200000000000003</v>
      </c>
      <c r="E1015" s="798"/>
      <c r="F1015" s="283">
        <f>+D1015*E1015</f>
        <v>0</v>
      </c>
    </row>
    <row r="1016" spans="1:6" ht="15.75">
      <c r="A1016" s="52" t="s">
        <v>3</v>
      </c>
      <c r="B1016" s="306" t="s">
        <v>1121</v>
      </c>
      <c r="C1016" s="294" t="s">
        <v>1072</v>
      </c>
      <c r="D1016" s="241">
        <f>0.175*1.3*17*5</f>
        <v>19.3375</v>
      </c>
      <c r="E1016" s="798"/>
      <c r="F1016" s="283">
        <f>+D1016*E1016</f>
        <v>0</v>
      </c>
    </row>
    <row r="1017" spans="1:6" ht="60">
      <c r="A1017" s="52" t="s">
        <v>1122</v>
      </c>
      <c r="B1017" s="306" t="s">
        <v>1233</v>
      </c>
      <c r="C1017" s="294" t="s">
        <v>1072</v>
      </c>
      <c r="D1017" s="241">
        <f>102.11+118.05+118.05+118.05+118.05+67.08</f>
        <v>641.39</v>
      </c>
      <c r="E1017" s="798"/>
      <c r="F1017" s="283">
        <f>+D1017*E1017</f>
        <v>0</v>
      </c>
    </row>
    <row r="1018" spans="1:6" ht="60">
      <c r="A1018" s="52" t="s">
        <v>1123</v>
      </c>
      <c r="B1018" s="306" t="s">
        <v>1232</v>
      </c>
      <c r="C1018" s="294" t="s">
        <v>1072</v>
      </c>
      <c r="D1018" s="241">
        <f>8.18*2</f>
        <v>16.36</v>
      </c>
      <c r="E1018" s="798"/>
      <c r="F1018" s="283">
        <f>+D1018*E1018</f>
        <v>0</v>
      </c>
    </row>
    <row r="1019" spans="1:6" ht="15">
      <c r="A1019" s="267"/>
      <c r="B1019" s="268"/>
      <c r="C1019" s="305"/>
      <c r="D1019" s="307"/>
      <c r="E1019" s="833"/>
      <c r="F1019" s="308"/>
    </row>
    <row r="1020" spans="1:6" ht="15">
      <c r="A1020" s="336"/>
      <c r="B1020" s="208" t="s">
        <v>134</v>
      </c>
      <c r="C1020" s="367"/>
      <c r="D1020" s="4"/>
      <c r="E1020" s="806"/>
      <c r="F1020" s="4">
        <f>SUM(F997:F1019)</f>
        <v>0</v>
      </c>
    </row>
    <row r="1023" spans="1:6" ht="15.75">
      <c r="A1023" s="406" t="s">
        <v>405</v>
      </c>
      <c r="B1023" s="6" t="s">
        <v>23</v>
      </c>
      <c r="C1023" s="367"/>
      <c r="D1023" s="152"/>
      <c r="E1023" s="803"/>
      <c r="F1023" s="153"/>
    </row>
    <row r="1024" spans="1:6" ht="15">
      <c r="A1024" s="328"/>
      <c r="B1024" s="36" t="s">
        <v>30</v>
      </c>
      <c r="C1024" s="294"/>
      <c r="D1024" s="41"/>
      <c r="E1024" s="784"/>
      <c r="F1024" s="154"/>
    </row>
    <row r="1025" spans="1:6" ht="15">
      <c r="A1025" s="52" t="s">
        <v>25</v>
      </c>
      <c r="B1025" s="40" t="s">
        <v>31</v>
      </c>
      <c r="C1025" s="294"/>
      <c r="D1025" s="41"/>
      <c r="E1025" s="784"/>
      <c r="F1025" s="154"/>
    </row>
    <row r="1026" spans="1:6" ht="15">
      <c r="A1026" s="52" t="s">
        <v>26</v>
      </c>
      <c r="B1026" s="40" t="s">
        <v>6</v>
      </c>
      <c r="C1026" s="294"/>
      <c r="D1026" s="41"/>
      <c r="E1026" s="784"/>
      <c r="F1026" s="154"/>
    </row>
    <row r="1027" spans="1:6" ht="15">
      <c r="A1027" s="52" t="s">
        <v>1</v>
      </c>
      <c r="B1027" s="40" t="s">
        <v>0</v>
      </c>
      <c r="C1027" s="294"/>
      <c r="D1027" s="41"/>
      <c r="E1027" s="784"/>
      <c r="F1027" s="154"/>
    </row>
    <row r="1028" spans="1:6" ht="15">
      <c r="A1028" s="52" t="s">
        <v>2</v>
      </c>
      <c r="B1028" s="40" t="s">
        <v>13</v>
      </c>
      <c r="C1028" s="294"/>
      <c r="D1028" s="41"/>
      <c r="E1028" s="784"/>
      <c r="F1028" s="154"/>
    </row>
    <row r="1029" spans="1:6" ht="22.5">
      <c r="A1029" s="52" t="s">
        <v>3</v>
      </c>
      <c r="B1029" s="40" t="s">
        <v>9</v>
      </c>
      <c r="C1029" s="294"/>
      <c r="D1029" s="41"/>
      <c r="E1029" s="784"/>
      <c r="F1029" s="154"/>
    </row>
    <row r="1030" spans="1:6" ht="17.25" customHeight="1">
      <c r="A1030" s="52" t="s">
        <v>4</v>
      </c>
      <c r="B1030" s="40" t="s">
        <v>14</v>
      </c>
      <c r="C1030" s="294"/>
      <c r="D1030" s="41"/>
      <c r="E1030" s="784"/>
      <c r="F1030" s="154"/>
    </row>
    <row r="1031" spans="1:6" ht="15">
      <c r="A1031" s="52" t="s">
        <v>5</v>
      </c>
      <c r="B1031" s="40" t="s">
        <v>7</v>
      </c>
      <c r="C1031" s="294"/>
      <c r="D1031" s="41"/>
      <c r="E1031" s="784"/>
      <c r="F1031" s="154"/>
    </row>
    <row r="1032" spans="1:6" ht="309" customHeight="1">
      <c r="A1032" s="52"/>
      <c r="B1032" s="60" t="s">
        <v>141</v>
      </c>
      <c r="C1032" s="294"/>
      <c r="D1032" s="41"/>
      <c r="E1032" s="784"/>
      <c r="F1032" s="154"/>
    </row>
    <row r="1033" spans="1:6" ht="22.5">
      <c r="A1033" s="52" t="s">
        <v>27</v>
      </c>
      <c r="B1033" s="38" t="s">
        <v>43</v>
      </c>
      <c r="C1033" s="294"/>
      <c r="D1033" s="2"/>
      <c r="E1033" s="825"/>
      <c r="F1033" s="7"/>
    </row>
    <row r="1034" spans="1:6" ht="15">
      <c r="A1034" s="52"/>
      <c r="B1034" s="62"/>
      <c r="C1034" s="294"/>
      <c r="D1034" s="41"/>
      <c r="E1034" s="834"/>
      <c r="F1034" s="108"/>
    </row>
    <row r="1035" spans="1:6" ht="105">
      <c r="A1035" s="52" t="s">
        <v>1071</v>
      </c>
      <c r="B1035" s="240" t="s">
        <v>1204</v>
      </c>
      <c r="C1035" s="303" t="s">
        <v>1072</v>
      </c>
      <c r="D1035" s="41">
        <v>1450.2</v>
      </c>
      <c r="E1035" s="835"/>
      <c r="F1035" s="154">
        <f aca="true" t="shared" si="18" ref="F1035:F1045">+D1035*E1035</f>
        <v>0</v>
      </c>
    </row>
    <row r="1036" spans="1:6" ht="105">
      <c r="A1036" s="52" t="s">
        <v>1073</v>
      </c>
      <c r="B1036" s="240" t="s">
        <v>1205</v>
      </c>
      <c r="C1036" s="303" t="s">
        <v>1072</v>
      </c>
      <c r="D1036" s="41">
        <v>32.52</v>
      </c>
      <c r="E1036" s="835"/>
      <c r="F1036" s="154">
        <f t="shared" si="18"/>
        <v>0</v>
      </c>
    </row>
    <row r="1037" spans="1:6" ht="15">
      <c r="A1037" s="52" t="s">
        <v>1074</v>
      </c>
      <c r="B1037" s="278" t="s">
        <v>1075</v>
      </c>
      <c r="C1037" s="303" t="s">
        <v>1072</v>
      </c>
      <c r="D1037" s="41">
        <v>2241.39</v>
      </c>
      <c r="E1037" s="835"/>
      <c r="F1037" s="154">
        <f t="shared" si="18"/>
        <v>0</v>
      </c>
    </row>
    <row r="1038" spans="1:6" ht="45">
      <c r="A1038" s="52" t="s">
        <v>1076</v>
      </c>
      <c r="B1038" s="278" t="s">
        <v>1079</v>
      </c>
      <c r="C1038" s="303" t="s">
        <v>1072</v>
      </c>
      <c r="D1038" s="41">
        <v>1113.55</v>
      </c>
      <c r="E1038" s="835"/>
      <c r="F1038" s="154">
        <f t="shared" si="18"/>
        <v>0</v>
      </c>
    </row>
    <row r="1039" spans="1:6" ht="15">
      <c r="A1039" s="52" t="s">
        <v>1077</v>
      </c>
      <c r="B1039" s="278" t="s">
        <v>1078</v>
      </c>
      <c r="C1039" s="303" t="s">
        <v>1072</v>
      </c>
      <c r="D1039" s="41"/>
      <c r="E1039" s="835"/>
      <c r="F1039" s="154">
        <f t="shared" si="18"/>
        <v>0</v>
      </c>
    </row>
    <row r="1040" spans="1:6" ht="34.5" customHeight="1">
      <c r="A1040" s="52" t="s">
        <v>1080</v>
      </c>
      <c r="B1040" s="278" t="s">
        <v>1081</v>
      </c>
      <c r="C1040" s="303" t="s">
        <v>1072</v>
      </c>
      <c r="D1040" s="41">
        <v>125.6</v>
      </c>
      <c r="E1040" s="835"/>
      <c r="F1040" s="154">
        <f t="shared" si="18"/>
        <v>0</v>
      </c>
    </row>
    <row r="1041" spans="1:6" ht="30">
      <c r="A1041" s="52" t="s">
        <v>1082</v>
      </c>
      <c r="B1041" s="278" t="s">
        <v>1083</v>
      </c>
      <c r="C1041" s="303" t="s">
        <v>1072</v>
      </c>
      <c r="D1041" s="41">
        <v>125.6</v>
      </c>
      <c r="E1041" s="835"/>
      <c r="F1041" s="154">
        <f t="shared" si="18"/>
        <v>0</v>
      </c>
    </row>
    <row r="1042" spans="1:6" ht="15">
      <c r="A1042" s="52" t="s">
        <v>1084</v>
      </c>
      <c r="B1042" s="278" t="s">
        <v>1085</v>
      </c>
      <c r="C1042" s="294" t="s">
        <v>748</v>
      </c>
      <c r="D1042" s="107">
        <v>6</v>
      </c>
      <c r="E1042" s="757"/>
      <c r="F1042" s="154">
        <f t="shared" si="18"/>
        <v>0</v>
      </c>
    </row>
    <row r="1043" spans="1:6" ht="60">
      <c r="A1043" s="52" t="s">
        <v>1306</v>
      </c>
      <c r="B1043" s="240" t="s">
        <v>1309</v>
      </c>
      <c r="C1043" s="273"/>
      <c r="D1043" s="107"/>
      <c r="E1043" s="786"/>
      <c r="F1043" s="154"/>
    </row>
    <row r="1044" spans="1:6" ht="15">
      <c r="A1044" s="277"/>
      <c r="B1044" s="240" t="s">
        <v>1307</v>
      </c>
      <c r="C1044" s="303" t="s">
        <v>1072</v>
      </c>
      <c r="D1044" s="107">
        <v>16.2</v>
      </c>
      <c r="E1044" s="836"/>
      <c r="F1044" s="154">
        <f t="shared" si="18"/>
        <v>0</v>
      </c>
    </row>
    <row r="1045" spans="1:6" ht="15">
      <c r="A1045" s="277"/>
      <c r="B1045" s="240" t="s">
        <v>1308</v>
      </c>
      <c r="C1045" s="273" t="s">
        <v>721</v>
      </c>
      <c r="D1045" s="107">
        <v>55</v>
      </c>
      <c r="E1045" s="836"/>
      <c r="F1045" s="154">
        <f t="shared" si="18"/>
        <v>0</v>
      </c>
    </row>
    <row r="1046" spans="1:6" ht="15">
      <c r="A1046" s="171"/>
      <c r="B1046" s="64"/>
      <c r="C1046" s="274"/>
      <c r="D1046" s="135"/>
      <c r="E1046" s="837"/>
      <c r="F1046" s="137"/>
    </row>
    <row r="1047" spans="1:6" ht="15">
      <c r="A1047" s="208"/>
      <c r="B1047" s="208" t="s">
        <v>93</v>
      </c>
      <c r="C1047" s="367"/>
      <c r="D1047" s="148"/>
      <c r="E1047" s="787"/>
      <c r="F1047" s="148">
        <f>SUM(F1024:F1046)</f>
        <v>0</v>
      </c>
    </row>
    <row r="1050" spans="1:6" ht="15.75">
      <c r="A1050" s="208" t="s">
        <v>138</v>
      </c>
      <c r="B1050" s="6" t="s">
        <v>123</v>
      </c>
      <c r="C1050" s="367"/>
      <c r="D1050" s="152"/>
      <c r="E1050" s="803"/>
      <c r="F1050" s="153"/>
    </row>
    <row r="1051" spans="1:6" ht="15">
      <c r="A1051" s="317"/>
      <c r="B1051" s="67" t="s">
        <v>30</v>
      </c>
      <c r="C1051" s="294"/>
      <c r="D1051" s="2"/>
      <c r="E1051" s="807"/>
      <c r="F1051" s="7"/>
    </row>
    <row r="1052" spans="1:6" ht="15">
      <c r="A1052" s="52" t="s">
        <v>25</v>
      </c>
      <c r="B1052" s="40" t="s">
        <v>31</v>
      </c>
      <c r="C1052" s="294"/>
      <c r="D1052" s="2"/>
      <c r="E1052" s="807"/>
      <c r="F1052" s="7"/>
    </row>
    <row r="1053" spans="1:6" ht="15">
      <c r="A1053" s="52" t="s">
        <v>26</v>
      </c>
      <c r="B1053" s="40" t="s">
        <v>155</v>
      </c>
      <c r="C1053" s="294"/>
      <c r="D1053" s="2"/>
      <c r="E1053" s="807"/>
      <c r="F1053" s="7"/>
    </row>
    <row r="1054" spans="1:6" ht="15">
      <c r="A1054" s="52" t="s">
        <v>27</v>
      </c>
      <c r="B1054" s="40" t="s">
        <v>103</v>
      </c>
      <c r="C1054" s="294"/>
      <c r="D1054" s="2"/>
      <c r="E1054" s="807"/>
      <c r="F1054" s="7"/>
    </row>
    <row r="1055" spans="1:6" ht="22.5">
      <c r="A1055" s="52" t="s">
        <v>1</v>
      </c>
      <c r="B1055" s="40" t="s">
        <v>104</v>
      </c>
      <c r="C1055" s="294"/>
      <c r="D1055" s="2"/>
      <c r="E1055" s="807"/>
      <c r="F1055" s="7"/>
    </row>
    <row r="1056" spans="1:6" ht="22.5">
      <c r="A1056" s="52" t="s">
        <v>2</v>
      </c>
      <c r="B1056" s="40" t="s">
        <v>105</v>
      </c>
      <c r="C1056" s="294"/>
      <c r="D1056" s="2"/>
      <c r="E1056" s="807"/>
      <c r="F1056" s="7"/>
    </row>
    <row r="1057" spans="1:6" ht="15">
      <c r="A1057" s="52" t="s">
        <v>3</v>
      </c>
      <c r="B1057" s="40" t="s">
        <v>106</v>
      </c>
      <c r="C1057" s="294"/>
      <c r="D1057" s="2"/>
      <c r="E1057" s="807"/>
      <c r="F1057" s="7"/>
    </row>
    <row r="1058" spans="1:6" ht="15">
      <c r="A1058" s="52" t="s">
        <v>4</v>
      </c>
      <c r="B1058" s="40" t="s">
        <v>107</v>
      </c>
      <c r="C1058" s="294"/>
      <c r="D1058" s="2"/>
      <c r="E1058" s="807"/>
      <c r="F1058" s="7"/>
    </row>
    <row r="1059" spans="1:6" ht="15">
      <c r="A1059" s="52" t="s">
        <v>5</v>
      </c>
      <c r="B1059" s="40" t="s">
        <v>108</v>
      </c>
      <c r="C1059" s="294"/>
      <c r="D1059" s="2"/>
      <c r="E1059" s="807"/>
      <c r="F1059" s="7"/>
    </row>
    <row r="1060" spans="1:6" ht="22.5">
      <c r="A1060" s="52" t="s">
        <v>8</v>
      </c>
      <c r="B1060" s="40" t="s">
        <v>109</v>
      </c>
      <c r="C1060" s="294"/>
      <c r="D1060" s="2"/>
      <c r="E1060" s="807"/>
      <c r="F1060" s="7"/>
    </row>
    <row r="1061" spans="1:6" ht="15">
      <c r="A1061" s="52" t="s">
        <v>10</v>
      </c>
      <c r="B1061" s="40" t="s">
        <v>110</v>
      </c>
      <c r="C1061" s="294"/>
      <c r="D1061" s="2"/>
      <c r="E1061" s="807"/>
      <c r="F1061" s="7"/>
    </row>
    <row r="1062" spans="1:6" ht="15">
      <c r="A1062" s="52" t="s">
        <v>11</v>
      </c>
      <c r="B1062" s="40" t="s">
        <v>12</v>
      </c>
      <c r="C1062" s="294"/>
      <c r="D1062" s="2"/>
      <c r="E1062" s="807"/>
      <c r="F1062" s="7"/>
    </row>
    <row r="1063" spans="1:6" ht="309.75" customHeight="1">
      <c r="A1063" s="52"/>
      <c r="B1063" s="60" t="s">
        <v>141</v>
      </c>
      <c r="C1063" s="294"/>
      <c r="D1063" s="2"/>
      <c r="E1063" s="807"/>
      <c r="F1063" s="7"/>
    </row>
    <row r="1064" spans="1:6" ht="22.5">
      <c r="A1064" s="52" t="s">
        <v>27</v>
      </c>
      <c r="B1064" s="38" t="s">
        <v>43</v>
      </c>
      <c r="C1064" s="294"/>
      <c r="D1064" s="2"/>
      <c r="E1064" s="825"/>
      <c r="F1064" s="7"/>
    </row>
    <row r="1065" spans="1:6" ht="15">
      <c r="A1065" s="52"/>
      <c r="B1065" s="240"/>
      <c r="C1065" s="294"/>
      <c r="D1065" s="241"/>
      <c r="E1065" s="797"/>
      <c r="F1065" s="258"/>
    </row>
    <row r="1066" spans="1:6" ht="78.75" customHeight="1">
      <c r="A1066" s="52" t="s">
        <v>1124</v>
      </c>
      <c r="B1066" s="240" t="s">
        <v>1125</v>
      </c>
      <c r="C1066" s="294" t="s">
        <v>1072</v>
      </c>
      <c r="D1066" s="241">
        <v>35.6</v>
      </c>
      <c r="E1066" s="798"/>
      <c r="F1066" s="258">
        <f>+D1066*E1066</f>
        <v>0</v>
      </c>
    </row>
    <row r="1067" spans="1:6" ht="45">
      <c r="A1067" s="52" t="s">
        <v>1304</v>
      </c>
      <c r="B1067" s="309" t="s">
        <v>1305</v>
      </c>
      <c r="C1067" s="294" t="s">
        <v>1072</v>
      </c>
      <c r="D1067" s="259">
        <v>3.05</v>
      </c>
      <c r="E1067" s="798"/>
      <c r="F1067" s="258">
        <f>+D1067*E1067</f>
        <v>0</v>
      </c>
    </row>
    <row r="1068" spans="1:6" ht="15">
      <c r="A1068" s="171"/>
      <c r="B1068" s="3"/>
      <c r="C1068" s="274"/>
      <c r="D1068" s="243"/>
      <c r="E1068" s="801"/>
      <c r="F1068" s="244"/>
    </row>
    <row r="1069" spans="1:6" ht="15">
      <c r="A1069" s="208"/>
      <c r="B1069" s="208" t="s">
        <v>135</v>
      </c>
      <c r="C1069" s="367"/>
      <c r="D1069" s="148"/>
      <c r="E1069" s="787"/>
      <c r="F1069" s="148">
        <f>SUM(F1051:F1068)</f>
        <v>0</v>
      </c>
    </row>
    <row r="1072" spans="1:6" ht="15.75">
      <c r="A1072" s="406" t="s">
        <v>136</v>
      </c>
      <c r="B1072" s="6" t="s">
        <v>406</v>
      </c>
      <c r="C1072" s="367"/>
      <c r="D1072" s="152"/>
      <c r="E1072" s="803"/>
      <c r="F1072" s="153"/>
    </row>
    <row r="1073" spans="1:6" ht="15">
      <c r="A1073" s="317"/>
      <c r="B1073" s="67" t="s">
        <v>30</v>
      </c>
      <c r="C1073" s="294"/>
      <c r="D1073" s="2"/>
      <c r="E1073" s="807"/>
      <c r="F1073" s="7"/>
    </row>
    <row r="1074" spans="1:6" ht="15">
      <c r="A1074" s="52" t="s">
        <v>25</v>
      </c>
      <c r="B1074" s="40" t="s">
        <v>31</v>
      </c>
      <c r="C1074" s="294"/>
      <c r="D1074" s="2"/>
      <c r="E1074" s="807"/>
      <c r="F1074" s="7"/>
    </row>
    <row r="1075" spans="1:6" ht="15">
      <c r="A1075" s="52" t="s">
        <v>26</v>
      </c>
      <c r="B1075" s="40" t="s">
        <v>156</v>
      </c>
      <c r="C1075" s="294"/>
      <c r="D1075" s="2"/>
      <c r="E1075" s="807"/>
      <c r="F1075" s="7"/>
    </row>
    <row r="1076" spans="1:6" ht="15">
      <c r="A1076" s="52" t="s">
        <v>27</v>
      </c>
      <c r="B1076" s="40" t="s">
        <v>103</v>
      </c>
      <c r="C1076" s="294"/>
      <c r="D1076" s="2"/>
      <c r="E1076" s="807"/>
      <c r="F1076" s="7"/>
    </row>
    <row r="1077" spans="1:6" ht="22.5">
      <c r="A1077" s="52" t="s">
        <v>1</v>
      </c>
      <c r="B1077" s="40" t="s">
        <v>104</v>
      </c>
      <c r="C1077" s="294"/>
      <c r="D1077" s="2"/>
      <c r="E1077" s="807"/>
      <c r="F1077" s="7"/>
    </row>
    <row r="1078" spans="1:6" ht="22.5">
      <c r="A1078" s="52" t="s">
        <v>2</v>
      </c>
      <c r="B1078" s="40" t="s">
        <v>105</v>
      </c>
      <c r="C1078" s="294"/>
      <c r="D1078" s="2"/>
      <c r="E1078" s="807"/>
      <c r="F1078" s="7"/>
    </row>
    <row r="1079" spans="1:6" ht="15">
      <c r="A1079" s="52" t="s">
        <v>3</v>
      </c>
      <c r="B1079" s="40" t="s">
        <v>106</v>
      </c>
      <c r="C1079" s="294"/>
      <c r="D1079" s="2"/>
      <c r="E1079" s="807"/>
      <c r="F1079" s="7"/>
    </row>
    <row r="1080" spans="1:6" ht="15">
      <c r="A1080" s="52" t="s">
        <v>4</v>
      </c>
      <c r="B1080" s="40" t="s">
        <v>107</v>
      </c>
      <c r="C1080" s="294"/>
      <c r="D1080" s="2"/>
      <c r="E1080" s="807"/>
      <c r="F1080" s="7"/>
    </row>
    <row r="1081" spans="1:6" ht="15">
      <c r="A1081" s="52" t="s">
        <v>5</v>
      </c>
      <c r="B1081" s="40" t="s">
        <v>157</v>
      </c>
      <c r="C1081" s="294"/>
      <c r="D1081" s="2"/>
      <c r="E1081" s="807"/>
      <c r="F1081" s="7"/>
    </row>
    <row r="1082" spans="1:6" ht="22.5">
      <c r="A1082" s="52" t="s">
        <v>8</v>
      </c>
      <c r="B1082" s="40" t="s">
        <v>109</v>
      </c>
      <c r="C1082" s="294"/>
      <c r="D1082" s="2"/>
      <c r="E1082" s="807"/>
      <c r="F1082" s="7"/>
    </row>
    <row r="1083" spans="1:6" ht="15">
      <c r="A1083" s="52" t="s">
        <v>10</v>
      </c>
      <c r="B1083" s="40" t="s">
        <v>110</v>
      </c>
      <c r="C1083" s="294"/>
      <c r="D1083" s="2"/>
      <c r="E1083" s="807"/>
      <c r="F1083" s="7"/>
    </row>
    <row r="1084" spans="1:6" ht="15">
      <c r="A1084" s="52" t="s">
        <v>11</v>
      </c>
      <c r="B1084" s="40" t="s">
        <v>12</v>
      </c>
      <c r="C1084" s="294"/>
      <c r="D1084" s="2"/>
      <c r="E1084" s="807"/>
      <c r="F1084" s="7"/>
    </row>
    <row r="1085" spans="1:6" ht="307.5" customHeight="1">
      <c r="A1085" s="52"/>
      <c r="B1085" s="60" t="s">
        <v>141</v>
      </c>
      <c r="C1085" s="294"/>
      <c r="D1085" s="2"/>
      <c r="E1085" s="807"/>
      <c r="F1085" s="7"/>
    </row>
    <row r="1086" spans="1:6" ht="22.5">
      <c r="A1086" s="52" t="s">
        <v>27</v>
      </c>
      <c r="B1086" s="38" t="s">
        <v>43</v>
      </c>
      <c r="C1086" s="294"/>
      <c r="D1086" s="2"/>
      <c r="E1086" s="825"/>
      <c r="F1086" s="7"/>
    </row>
    <row r="1087" spans="1:6" ht="15">
      <c r="A1087" s="52"/>
      <c r="B1087" s="68"/>
      <c r="C1087" s="294"/>
      <c r="D1087" s="107"/>
      <c r="E1087" s="786"/>
      <c r="F1087" s="108"/>
    </row>
    <row r="1088" spans="1:6" ht="15">
      <c r="A1088" s="52"/>
      <c r="B1088" s="304" t="s">
        <v>1086</v>
      </c>
      <c r="C1088" s="294"/>
      <c r="D1088" s="241"/>
      <c r="E1088" s="797"/>
      <c r="F1088" s="258"/>
    </row>
    <row r="1089" spans="1:6" ht="105">
      <c r="A1089" s="52" t="s">
        <v>1087</v>
      </c>
      <c r="B1089" s="278" t="s">
        <v>1088</v>
      </c>
      <c r="C1089" s="303" t="s">
        <v>1072</v>
      </c>
      <c r="D1089" s="259">
        <v>8.32</v>
      </c>
      <c r="E1089" s="799"/>
      <c r="F1089" s="258">
        <f>+D1089*E1089</f>
        <v>0</v>
      </c>
    </row>
    <row r="1090" spans="1:6" ht="15">
      <c r="A1090" s="171"/>
      <c r="B1090" s="3"/>
      <c r="C1090" s="274"/>
      <c r="D1090" s="243"/>
      <c r="E1090" s="801"/>
      <c r="F1090" s="244"/>
    </row>
    <row r="1091" spans="1:6" ht="15">
      <c r="A1091" s="208"/>
      <c r="B1091" s="208" t="s">
        <v>137</v>
      </c>
      <c r="C1091" s="367"/>
      <c r="D1091" s="148"/>
      <c r="E1091" s="787"/>
      <c r="F1091" s="148">
        <f>SUM(F1073:F1090)</f>
        <v>0</v>
      </c>
    </row>
    <row r="1094" spans="1:6" ht="15.75">
      <c r="A1094" s="208" t="s">
        <v>407</v>
      </c>
      <c r="B1094" s="6" t="s">
        <v>163</v>
      </c>
      <c r="C1094" s="367"/>
      <c r="D1094" s="152"/>
      <c r="E1094" s="803"/>
      <c r="F1094" s="153"/>
    </row>
    <row r="1095" spans="1:6" ht="15">
      <c r="A1095" s="317"/>
      <c r="B1095" s="67" t="s">
        <v>30</v>
      </c>
      <c r="C1095" s="294"/>
      <c r="D1095" s="2"/>
      <c r="E1095" s="807"/>
      <c r="F1095" s="7"/>
    </row>
    <row r="1096" spans="1:6" ht="15">
      <c r="A1096" s="52" t="s">
        <v>25</v>
      </c>
      <c r="B1096" s="40" t="s">
        <v>31</v>
      </c>
      <c r="C1096" s="294"/>
      <c r="D1096" s="2"/>
      <c r="E1096" s="807"/>
      <c r="F1096" s="7"/>
    </row>
    <row r="1097" spans="1:6" ht="15">
      <c r="A1097" s="52" t="s">
        <v>26</v>
      </c>
      <c r="B1097" s="40" t="s">
        <v>102</v>
      </c>
      <c r="C1097" s="294"/>
      <c r="D1097" s="2"/>
      <c r="E1097" s="807"/>
      <c r="F1097" s="7"/>
    </row>
    <row r="1098" spans="1:6" ht="15">
      <c r="A1098" s="52" t="s">
        <v>27</v>
      </c>
      <c r="B1098" s="40" t="s">
        <v>103</v>
      </c>
      <c r="C1098" s="294"/>
      <c r="D1098" s="2"/>
      <c r="E1098" s="807"/>
      <c r="F1098" s="7"/>
    </row>
    <row r="1099" spans="1:6" ht="22.5">
      <c r="A1099" s="52" t="s">
        <v>1</v>
      </c>
      <c r="B1099" s="40" t="s">
        <v>104</v>
      </c>
      <c r="C1099" s="294"/>
      <c r="D1099" s="2"/>
      <c r="E1099" s="807"/>
      <c r="F1099" s="7"/>
    </row>
    <row r="1100" spans="1:6" ht="22.5">
      <c r="A1100" s="52" t="s">
        <v>2</v>
      </c>
      <c r="B1100" s="40" t="s">
        <v>105</v>
      </c>
      <c r="C1100" s="294"/>
      <c r="D1100" s="2"/>
      <c r="E1100" s="807"/>
      <c r="F1100" s="7"/>
    </row>
    <row r="1101" spans="1:6" ht="15">
      <c r="A1101" s="52" t="s">
        <v>3</v>
      </c>
      <c r="B1101" s="40" t="s">
        <v>106</v>
      </c>
      <c r="C1101" s="294"/>
      <c r="D1101" s="2"/>
      <c r="E1101" s="807"/>
      <c r="F1101" s="7"/>
    </row>
    <row r="1102" spans="1:6" ht="15">
      <c r="A1102" s="52" t="s">
        <v>4</v>
      </c>
      <c r="B1102" s="40" t="s">
        <v>107</v>
      </c>
      <c r="C1102" s="294"/>
      <c r="D1102" s="2"/>
      <c r="E1102" s="807"/>
      <c r="F1102" s="7"/>
    </row>
    <row r="1103" spans="1:6" ht="15">
      <c r="A1103" s="52" t="s">
        <v>5</v>
      </c>
      <c r="B1103" s="40" t="s">
        <v>108</v>
      </c>
      <c r="C1103" s="294"/>
      <c r="D1103" s="2"/>
      <c r="E1103" s="807"/>
      <c r="F1103" s="7"/>
    </row>
    <row r="1104" spans="1:6" ht="22.5">
      <c r="A1104" s="52" t="s">
        <v>8</v>
      </c>
      <c r="B1104" s="40" t="s">
        <v>109</v>
      </c>
      <c r="C1104" s="294"/>
      <c r="D1104" s="2"/>
      <c r="E1104" s="807"/>
      <c r="F1104" s="7"/>
    </row>
    <row r="1105" spans="1:6" ht="15">
      <c r="A1105" s="52" t="s">
        <v>10</v>
      </c>
      <c r="B1105" s="40" t="s">
        <v>110</v>
      </c>
      <c r="C1105" s="294"/>
      <c r="D1105" s="2"/>
      <c r="E1105" s="807"/>
      <c r="F1105" s="7"/>
    </row>
    <row r="1106" spans="1:6" ht="15">
      <c r="A1106" s="52" t="s">
        <v>11</v>
      </c>
      <c r="B1106" s="40" t="s">
        <v>12</v>
      </c>
      <c r="C1106" s="294"/>
      <c r="D1106" s="2"/>
      <c r="E1106" s="807"/>
      <c r="F1106" s="7"/>
    </row>
    <row r="1107" spans="1:6" ht="22.5">
      <c r="A1107" s="52"/>
      <c r="B1107" s="66" t="s">
        <v>111</v>
      </c>
      <c r="C1107" s="294"/>
      <c r="D1107" s="2"/>
      <c r="E1107" s="807"/>
      <c r="F1107" s="7"/>
    </row>
    <row r="1108" spans="1:6" ht="306.75" customHeight="1">
      <c r="A1108" s="52"/>
      <c r="B1108" s="60" t="s">
        <v>141</v>
      </c>
      <c r="C1108" s="294"/>
      <c r="D1108" s="2"/>
      <c r="E1108" s="807"/>
      <c r="F1108" s="7"/>
    </row>
    <row r="1109" spans="1:6" ht="22.5">
      <c r="A1109" s="52" t="s">
        <v>27</v>
      </c>
      <c r="B1109" s="38" t="s">
        <v>43</v>
      </c>
      <c r="C1109" s="273"/>
      <c r="D1109" s="107"/>
      <c r="E1109" s="786"/>
      <c r="F1109" s="111"/>
    </row>
    <row r="1110" spans="1:6" ht="15">
      <c r="A1110" s="52"/>
      <c r="B1110" s="72"/>
      <c r="C1110" s="273"/>
      <c r="D1110" s="107"/>
      <c r="E1110" s="786"/>
      <c r="F1110" s="111"/>
    </row>
    <row r="1111" spans="1:6" ht="124.5" customHeight="1">
      <c r="A1111" s="52" t="s">
        <v>754</v>
      </c>
      <c r="B1111" s="239" t="s">
        <v>1206</v>
      </c>
      <c r="C1111" s="273" t="s">
        <v>183</v>
      </c>
      <c r="D1111" s="241">
        <v>1</v>
      </c>
      <c r="E1111" s="798"/>
      <c r="F1111" s="242">
        <f>+D1111*E1111</f>
        <v>0</v>
      </c>
    </row>
    <row r="1112" spans="1:6" ht="18" customHeight="1">
      <c r="A1112" s="52"/>
      <c r="B1112" s="395" t="s">
        <v>1283</v>
      </c>
      <c r="C1112" s="273"/>
      <c r="D1112" s="241"/>
      <c r="E1112" s="797"/>
      <c r="F1112" s="242"/>
    </row>
    <row r="1113" spans="1:6" ht="93.75" customHeight="1">
      <c r="A1113" s="52"/>
      <c r="B1113" s="240" t="s">
        <v>1270</v>
      </c>
      <c r="C1113" s="273"/>
      <c r="D1113" s="241"/>
      <c r="E1113" s="797"/>
      <c r="F1113" s="242"/>
    </row>
    <row r="1114" spans="1:6" ht="15">
      <c r="A1114" s="52"/>
      <c r="B1114" s="396" t="s">
        <v>1271</v>
      </c>
      <c r="C1114" s="273" t="s">
        <v>183</v>
      </c>
      <c r="D1114" s="241">
        <v>1</v>
      </c>
      <c r="E1114" s="798"/>
      <c r="F1114" s="242">
        <f>+D1114*E1114</f>
        <v>0</v>
      </c>
    </row>
    <row r="1115" spans="1:6" ht="15">
      <c r="A1115" s="52"/>
      <c r="B1115" s="396" t="s">
        <v>1265</v>
      </c>
      <c r="C1115" s="273" t="s">
        <v>183</v>
      </c>
      <c r="D1115" s="241">
        <v>1</v>
      </c>
      <c r="E1115" s="798"/>
      <c r="F1115" s="242">
        <f>+D1115*E1115</f>
        <v>0</v>
      </c>
    </row>
    <row r="1116" spans="1:6" ht="45">
      <c r="A1116" s="52"/>
      <c r="B1116" s="402" t="s">
        <v>1284</v>
      </c>
      <c r="C1116" s="273" t="s">
        <v>183</v>
      </c>
      <c r="D1116" s="241">
        <v>1</v>
      </c>
      <c r="E1116" s="798"/>
      <c r="F1116" s="242">
        <f>+D1116*E1116</f>
        <v>0</v>
      </c>
    </row>
    <row r="1117" spans="1:6" ht="137.25">
      <c r="A1117" s="52" t="s">
        <v>801</v>
      </c>
      <c r="B1117" s="239" t="s">
        <v>1207</v>
      </c>
      <c r="C1117" s="273" t="s">
        <v>183</v>
      </c>
      <c r="D1117" s="241">
        <v>1</v>
      </c>
      <c r="E1117" s="798"/>
      <c r="F1117" s="242">
        <f>+D1117*E1117</f>
        <v>0</v>
      </c>
    </row>
    <row r="1118" spans="1:6" ht="15">
      <c r="A1118" s="280"/>
      <c r="B1118" s="395" t="s">
        <v>1282</v>
      </c>
      <c r="C1118" s="273"/>
      <c r="D1118" s="241"/>
      <c r="E1118" s="797"/>
      <c r="F1118" s="242"/>
    </row>
    <row r="1119" spans="1:6" ht="94.5" customHeight="1">
      <c r="A1119" s="280"/>
      <c r="B1119" s="240" t="s">
        <v>1270</v>
      </c>
      <c r="C1119" s="273"/>
      <c r="D1119" s="241"/>
      <c r="E1119" s="798"/>
      <c r="F1119" s="242"/>
    </row>
    <row r="1120" spans="1:6" ht="15">
      <c r="A1120" s="280"/>
      <c r="B1120" s="396" t="s">
        <v>1271</v>
      </c>
      <c r="C1120" s="273" t="s">
        <v>183</v>
      </c>
      <c r="D1120" s="241">
        <v>1</v>
      </c>
      <c r="E1120" s="798"/>
      <c r="F1120" s="242">
        <f>+D1120*E1120</f>
        <v>0</v>
      </c>
    </row>
    <row r="1121" spans="1:6" ht="15">
      <c r="A1121" s="280"/>
      <c r="B1121" s="396" t="s">
        <v>1265</v>
      </c>
      <c r="C1121" s="273" t="s">
        <v>183</v>
      </c>
      <c r="D1121" s="241">
        <v>1</v>
      </c>
      <c r="E1121" s="798"/>
      <c r="F1121" s="242">
        <f>+D1121*E1121</f>
        <v>0</v>
      </c>
    </row>
    <row r="1122" spans="1:6" ht="137.25">
      <c r="A1122" s="280" t="s">
        <v>802</v>
      </c>
      <c r="B1122" s="90" t="s">
        <v>1208</v>
      </c>
      <c r="C1122" s="273" t="s">
        <v>183</v>
      </c>
      <c r="D1122" s="241">
        <v>1</v>
      </c>
      <c r="E1122" s="798"/>
      <c r="F1122" s="242">
        <f>+D1122*E1122</f>
        <v>0</v>
      </c>
    </row>
    <row r="1123" spans="1:6" ht="15">
      <c r="A1123" s="399"/>
      <c r="B1123" s="401" t="s">
        <v>1272</v>
      </c>
      <c r="C1123" s="273"/>
      <c r="D1123" s="241"/>
      <c r="E1123" s="797"/>
      <c r="F1123" s="242"/>
    </row>
    <row r="1124" spans="1:6" ht="168.75" customHeight="1">
      <c r="A1124" s="400" t="s">
        <v>1273</v>
      </c>
      <c r="B1124" s="240" t="s">
        <v>1281</v>
      </c>
      <c r="C1124" s="273" t="s">
        <v>183</v>
      </c>
      <c r="D1124" s="241">
        <v>1</v>
      </c>
      <c r="E1124" s="798"/>
      <c r="F1124" s="242">
        <f aca="true" t="shared" si="19" ref="F1124:F1133">+D1124*E1124</f>
        <v>0</v>
      </c>
    </row>
    <row r="1125" spans="1:6" ht="30">
      <c r="A1125" s="400" t="s">
        <v>1274</v>
      </c>
      <c r="B1125" s="402" t="s">
        <v>1275</v>
      </c>
      <c r="C1125" s="273" t="s">
        <v>183</v>
      </c>
      <c r="D1125" s="241">
        <v>1</v>
      </c>
      <c r="E1125" s="798"/>
      <c r="F1125" s="242">
        <f t="shared" si="19"/>
        <v>0</v>
      </c>
    </row>
    <row r="1126" spans="1:6" ht="30">
      <c r="A1126" s="400" t="s">
        <v>1276</v>
      </c>
      <c r="B1126" s="402" t="s">
        <v>1277</v>
      </c>
      <c r="C1126" s="273" t="s">
        <v>183</v>
      </c>
      <c r="D1126" s="241">
        <v>1</v>
      </c>
      <c r="E1126" s="798"/>
      <c r="F1126" s="242">
        <f t="shared" si="19"/>
        <v>0</v>
      </c>
    </row>
    <row r="1127" spans="1:6" ht="105">
      <c r="A1127" s="400" t="s">
        <v>1278</v>
      </c>
      <c r="B1127" s="240" t="s">
        <v>1279</v>
      </c>
      <c r="C1127" s="273" t="s">
        <v>183</v>
      </c>
      <c r="D1127" s="241">
        <v>1</v>
      </c>
      <c r="E1127" s="798"/>
      <c r="F1127" s="242">
        <f t="shared" si="19"/>
        <v>0</v>
      </c>
    </row>
    <row r="1128" spans="1:6" ht="30">
      <c r="A1128" s="400" t="s">
        <v>711</v>
      </c>
      <c r="B1128" s="402" t="s">
        <v>1280</v>
      </c>
      <c r="C1128" s="273" t="s">
        <v>183</v>
      </c>
      <c r="D1128" s="241">
        <v>1</v>
      </c>
      <c r="E1128" s="798"/>
      <c r="F1128" s="242">
        <f t="shared" si="19"/>
        <v>0</v>
      </c>
    </row>
    <row r="1129" spans="1:6" ht="86.25" customHeight="1">
      <c r="A1129" s="52" t="s">
        <v>806</v>
      </c>
      <c r="B1129" s="239" t="s">
        <v>1285</v>
      </c>
      <c r="C1129" s="273" t="s">
        <v>183</v>
      </c>
      <c r="D1129" s="241">
        <v>1</v>
      </c>
      <c r="E1129" s="798"/>
      <c r="F1129" s="242">
        <f t="shared" si="19"/>
        <v>0</v>
      </c>
    </row>
    <row r="1130" spans="1:6" ht="60">
      <c r="A1130" s="52" t="s">
        <v>815</v>
      </c>
      <c r="B1130" s="239" t="s">
        <v>1209</v>
      </c>
      <c r="C1130" s="273" t="s">
        <v>183</v>
      </c>
      <c r="D1130" s="241">
        <v>1</v>
      </c>
      <c r="E1130" s="798"/>
      <c r="F1130" s="242">
        <f t="shared" si="19"/>
        <v>0</v>
      </c>
    </row>
    <row r="1131" spans="1:6" ht="63.75" customHeight="1">
      <c r="A1131" s="52" t="s">
        <v>816</v>
      </c>
      <c r="B1131" s="239" t="s">
        <v>1210</v>
      </c>
      <c r="C1131" s="273" t="s">
        <v>183</v>
      </c>
      <c r="D1131" s="241">
        <v>8</v>
      </c>
      <c r="E1131" s="798"/>
      <c r="F1131" s="242">
        <f t="shared" si="19"/>
        <v>0</v>
      </c>
    </row>
    <row r="1132" spans="1:6" ht="65.25" customHeight="1">
      <c r="A1132" s="52" t="s">
        <v>817</v>
      </c>
      <c r="B1132" s="239" t="s">
        <v>1211</v>
      </c>
      <c r="C1132" s="273" t="s">
        <v>183</v>
      </c>
      <c r="D1132" s="241">
        <v>5</v>
      </c>
      <c r="E1132" s="798"/>
      <c r="F1132" s="242">
        <f t="shared" si="19"/>
        <v>0</v>
      </c>
    </row>
    <row r="1133" spans="1:6" ht="62.25" customHeight="1">
      <c r="A1133" s="52" t="s">
        <v>818</v>
      </c>
      <c r="B1133" s="239" t="s">
        <v>1212</v>
      </c>
      <c r="C1133" s="273" t="s">
        <v>183</v>
      </c>
      <c r="D1133" s="241">
        <v>2</v>
      </c>
      <c r="E1133" s="798"/>
      <c r="F1133" s="242">
        <f t="shared" si="19"/>
        <v>0</v>
      </c>
    </row>
    <row r="1134" spans="1:6" ht="15">
      <c r="A1134" s="171"/>
      <c r="B1134" s="3"/>
      <c r="C1134" s="274"/>
      <c r="D1134" s="243"/>
      <c r="E1134" s="801"/>
      <c r="F1134" s="244"/>
    </row>
    <row r="1135" spans="1:6" ht="15">
      <c r="A1135" s="208"/>
      <c r="B1135" s="208" t="s">
        <v>99</v>
      </c>
      <c r="C1135" s="367"/>
      <c r="D1135" s="153"/>
      <c r="E1135" s="803"/>
      <c r="F1135" s="148">
        <f>SUM(F1095:F1134)</f>
        <v>0</v>
      </c>
    </row>
    <row r="1138" spans="1:6" ht="15.75">
      <c r="A1138" s="208" t="s">
        <v>402</v>
      </c>
      <c r="B1138" s="6" t="s">
        <v>1253</v>
      </c>
      <c r="C1138" s="367"/>
      <c r="D1138" s="153"/>
      <c r="E1138" s="803"/>
      <c r="F1138" s="153"/>
    </row>
    <row r="1139" spans="1:6" ht="15">
      <c r="A1139" s="328"/>
      <c r="B1139" s="36" t="s">
        <v>30</v>
      </c>
      <c r="C1139" s="294"/>
      <c r="D1139" s="162"/>
      <c r="E1139" s="784"/>
      <c r="F1139" s="154"/>
    </row>
    <row r="1140" spans="1:6" ht="15">
      <c r="A1140" s="52" t="s">
        <v>25</v>
      </c>
      <c r="B1140" s="40" t="s">
        <v>31</v>
      </c>
      <c r="C1140" s="273"/>
      <c r="D1140" s="132"/>
      <c r="E1140" s="774"/>
      <c r="F1140" s="108"/>
    </row>
    <row r="1141" spans="1:6" ht="15">
      <c r="A1141" s="52" t="s">
        <v>26</v>
      </c>
      <c r="B1141" s="40" t="s">
        <v>6</v>
      </c>
      <c r="C1141" s="273"/>
      <c r="D1141" s="132"/>
      <c r="E1141" s="774"/>
      <c r="F1141" s="108"/>
    </row>
    <row r="1142" spans="1:6" ht="15">
      <c r="A1142" s="52" t="s">
        <v>1</v>
      </c>
      <c r="B1142" s="40" t="s">
        <v>15</v>
      </c>
      <c r="C1142" s="273"/>
      <c r="D1142" s="132"/>
      <c r="E1142" s="774"/>
      <c r="F1142" s="108"/>
    </row>
    <row r="1143" spans="1:6" ht="15">
      <c r="A1143" s="52" t="s">
        <v>2</v>
      </c>
      <c r="B1143" s="40" t="s">
        <v>16</v>
      </c>
      <c r="C1143" s="273"/>
      <c r="D1143" s="132"/>
      <c r="E1143" s="774"/>
      <c r="F1143" s="108"/>
    </row>
    <row r="1144" spans="1:6" ht="15">
      <c r="A1144" s="52" t="s">
        <v>3</v>
      </c>
      <c r="B1144" s="40" t="s">
        <v>17</v>
      </c>
      <c r="C1144" s="273"/>
      <c r="D1144" s="132"/>
      <c r="E1144" s="774"/>
      <c r="F1144" s="108"/>
    </row>
    <row r="1145" spans="1:6" ht="15">
      <c r="A1145" s="52" t="s">
        <v>4</v>
      </c>
      <c r="B1145" s="40" t="s">
        <v>18</v>
      </c>
      <c r="C1145" s="273"/>
      <c r="D1145" s="132"/>
      <c r="E1145" s="774"/>
      <c r="F1145" s="108"/>
    </row>
    <row r="1146" spans="1:6" ht="22.5">
      <c r="A1146" s="52" t="s">
        <v>5</v>
      </c>
      <c r="B1146" s="40" t="s">
        <v>55</v>
      </c>
      <c r="C1146" s="273"/>
      <c r="D1146" s="132"/>
      <c r="E1146" s="774"/>
      <c r="F1146" s="108"/>
    </row>
    <row r="1147" spans="1:6" ht="15">
      <c r="A1147" s="52" t="s">
        <v>8</v>
      </c>
      <c r="B1147" s="40" t="s">
        <v>19</v>
      </c>
      <c r="C1147" s="273"/>
      <c r="D1147" s="132"/>
      <c r="E1147" s="774"/>
      <c r="F1147" s="108"/>
    </row>
    <row r="1148" spans="1:6" ht="22.5">
      <c r="A1148" s="52" t="s">
        <v>10</v>
      </c>
      <c r="B1148" s="40" t="s">
        <v>20</v>
      </c>
      <c r="C1148" s="273"/>
      <c r="D1148" s="132"/>
      <c r="E1148" s="774"/>
      <c r="F1148" s="108"/>
    </row>
    <row r="1149" spans="1:6" ht="307.5" customHeight="1">
      <c r="A1149" s="52"/>
      <c r="B1149" s="60" t="s">
        <v>150</v>
      </c>
      <c r="C1149" s="273"/>
      <c r="D1149" s="132"/>
      <c r="E1149" s="774"/>
      <c r="F1149" s="108"/>
    </row>
    <row r="1150" spans="1:6" ht="22.5">
      <c r="A1150" s="52" t="s">
        <v>27</v>
      </c>
      <c r="B1150" s="38" t="s">
        <v>43</v>
      </c>
      <c r="C1150" s="273"/>
      <c r="D1150" s="107"/>
      <c r="E1150" s="786"/>
      <c r="F1150" s="108"/>
    </row>
    <row r="1151" spans="1:6" ht="15">
      <c r="A1151" s="52"/>
      <c r="B1151" s="240"/>
      <c r="C1151" s="273"/>
      <c r="D1151" s="241"/>
      <c r="E1151" s="797"/>
      <c r="F1151" s="258"/>
    </row>
    <row r="1152" spans="1:6" ht="75">
      <c r="A1152" s="52" t="s">
        <v>1126</v>
      </c>
      <c r="B1152" s="278" t="s">
        <v>2305</v>
      </c>
      <c r="C1152" s="310" t="s">
        <v>1072</v>
      </c>
      <c r="D1152" s="259">
        <f>103.47+140.71+140.71+140.71+140.71+110.04</f>
        <v>776.35</v>
      </c>
      <c r="E1152" s="799"/>
      <c r="F1152" s="242">
        <f>+D1152*E1152</f>
        <v>0</v>
      </c>
    </row>
    <row r="1153" spans="1:6" ht="15">
      <c r="A1153" s="171"/>
      <c r="B1153" s="3"/>
      <c r="C1153" s="274"/>
      <c r="D1153" s="243"/>
      <c r="E1153" s="801"/>
      <c r="F1153" s="244"/>
    </row>
    <row r="1154" spans="1:6" ht="15">
      <c r="A1154" s="338"/>
      <c r="B1154" s="216" t="s">
        <v>1254</v>
      </c>
      <c r="C1154" s="379"/>
      <c r="D1154" s="163"/>
      <c r="E1154" s="838"/>
      <c r="F1154" s="164">
        <f>SUM(F1140:F1153)</f>
        <v>0</v>
      </c>
    </row>
    <row r="1157" spans="1:6" ht="15.75">
      <c r="A1157" s="208" t="s">
        <v>410</v>
      </c>
      <c r="B1157" s="6" t="s">
        <v>1255</v>
      </c>
      <c r="C1157" s="367"/>
      <c r="D1157" s="153"/>
      <c r="E1157" s="803"/>
      <c r="F1157" s="153"/>
    </row>
    <row r="1158" spans="1:6" ht="15">
      <c r="A1158" s="328"/>
      <c r="B1158" s="36" t="s">
        <v>30</v>
      </c>
      <c r="C1158" s="294"/>
      <c r="D1158" s="162"/>
      <c r="E1158" s="784"/>
      <c r="F1158" s="154"/>
    </row>
    <row r="1159" spans="1:6" ht="15">
      <c r="A1159" s="52" t="s">
        <v>25</v>
      </c>
      <c r="B1159" s="40" t="s">
        <v>31</v>
      </c>
      <c r="C1159" s="273"/>
      <c r="D1159" s="132"/>
      <c r="E1159" s="774"/>
      <c r="F1159" s="108"/>
    </row>
    <row r="1160" spans="1:6" ht="15">
      <c r="A1160" s="52" t="s">
        <v>26</v>
      </c>
      <c r="B1160" s="40" t="s">
        <v>6</v>
      </c>
      <c r="C1160" s="273"/>
      <c r="D1160" s="132"/>
      <c r="E1160" s="774"/>
      <c r="F1160" s="108"/>
    </row>
    <row r="1161" spans="1:6" ht="15">
      <c r="A1161" s="52" t="s">
        <v>1</v>
      </c>
      <c r="B1161" s="40" t="s">
        <v>15</v>
      </c>
      <c r="C1161" s="273"/>
      <c r="D1161" s="132"/>
      <c r="E1161" s="774"/>
      <c r="F1161" s="108"/>
    </row>
    <row r="1162" spans="1:6" ht="15">
      <c r="A1162" s="52" t="s">
        <v>2</v>
      </c>
      <c r="B1162" s="40" t="s">
        <v>16</v>
      </c>
      <c r="C1162" s="273"/>
      <c r="D1162" s="132"/>
      <c r="E1162" s="774"/>
      <c r="F1162" s="108"/>
    </row>
    <row r="1163" spans="1:6" ht="15">
      <c r="A1163" s="52" t="s">
        <v>3</v>
      </c>
      <c r="B1163" s="40" t="s">
        <v>17</v>
      </c>
      <c r="C1163" s="273"/>
      <c r="D1163" s="132"/>
      <c r="E1163" s="774"/>
      <c r="F1163" s="108"/>
    </row>
    <row r="1164" spans="1:6" ht="15">
      <c r="A1164" s="52" t="s">
        <v>4</v>
      </c>
      <c r="B1164" s="40" t="s">
        <v>18</v>
      </c>
      <c r="C1164" s="273"/>
      <c r="D1164" s="132"/>
      <c r="E1164" s="774"/>
      <c r="F1164" s="108"/>
    </row>
    <row r="1165" spans="1:6" ht="22.5">
      <c r="A1165" s="52" t="s">
        <v>5</v>
      </c>
      <c r="B1165" s="40" t="s">
        <v>55</v>
      </c>
      <c r="C1165" s="273"/>
      <c r="D1165" s="132"/>
      <c r="E1165" s="774"/>
      <c r="F1165" s="108"/>
    </row>
    <row r="1166" spans="1:6" ht="15">
      <c r="A1166" s="52" t="s">
        <v>8</v>
      </c>
      <c r="B1166" s="40" t="s">
        <v>19</v>
      </c>
      <c r="C1166" s="273"/>
      <c r="D1166" s="132"/>
      <c r="E1166" s="774"/>
      <c r="F1166" s="108"/>
    </row>
    <row r="1167" spans="1:6" ht="22.5">
      <c r="A1167" s="52" t="s">
        <v>10</v>
      </c>
      <c r="B1167" s="40" t="s">
        <v>20</v>
      </c>
      <c r="C1167" s="273"/>
      <c r="D1167" s="132"/>
      <c r="E1167" s="774"/>
      <c r="F1167" s="108"/>
    </row>
    <row r="1168" spans="1:6" ht="308.25" customHeight="1">
      <c r="A1168" s="52"/>
      <c r="B1168" s="60" t="s">
        <v>150</v>
      </c>
      <c r="C1168" s="273"/>
      <c r="D1168" s="132"/>
      <c r="E1168" s="774"/>
      <c r="F1168" s="108"/>
    </row>
    <row r="1169" spans="1:6" ht="22.5">
      <c r="A1169" s="52" t="s">
        <v>27</v>
      </c>
      <c r="B1169" s="38" t="s">
        <v>43</v>
      </c>
      <c r="C1169" s="273"/>
      <c r="D1169" s="107"/>
      <c r="E1169" s="786"/>
      <c r="F1169" s="108"/>
    </row>
    <row r="1170" spans="1:6" ht="15">
      <c r="A1170" s="52"/>
      <c r="B1170" s="68"/>
      <c r="C1170" s="273"/>
      <c r="D1170" s="107"/>
      <c r="E1170" s="786"/>
      <c r="F1170" s="108"/>
    </row>
    <row r="1171" spans="1:6" ht="75">
      <c r="A1171" s="52" t="s">
        <v>1256</v>
      </c>
      <c r="B1171" s="240" t="s">
        <v>1234</v>
      </c>
      <c r="C1171" s="310" t="s">
        <v>183</v>
      </c>
      <c r="D1171" s="110">
        <v>1</v>
      </c>
      <c r="E1171" s="836"/>
      <c r="F1171" s="111">
        <f>+D1171*E1171</f>
        <v>0</v>
      </c>
    </row>
    <row r="1172" spans="1:6" ht="30">
      <c r="A1172" s="52" t="s">
        <v>1257</v>
      </c>
      <c r="B1172" s="240" t="s">
        <v>1235</v>
      </c>
      <c r="C1172" s="310" t="s">
        <v>748</v>
      </c>
      <c r="D1172" s="110">
        <v>1</v>
      </c>
      <c r="E1172" s="836"/>
      <c r="F1172" s="111">
        <f>+D1172*E1172</f>
        <v>0</v>
      </c>
    </row>
    <row r="1173" spans="1:6" ht="30">
      <c r="A1173" s="52" t="s">
        <v>1258</v>
      </c>
      <c r="B1173" s="240" t="s">
        <v>1236</v>
      </c>
      <c r="C1173" s="310" t="s">
        <v>183</v>
      </c>
      <c r="D1173" s="110">
        <v>1</v>
      </c>
      <c r="E1173" s="836"/>
      <c r="F1173" s="111">
        <f>+D1173*E1173</f>
        <v>0</v>
      </c>
    </row>
    <row r="1174" spans="1:6" ht="15">
      <c r="A1174" s="52" t="s">
        <v>1259</v>
      </c>
      <c r="B1174" s="240" t="s">
        <v>1331</v>
      </c>
      <c r="C1174" s="310" t="s">
        <v>183</v>
      </c>
      <c r="D1174" s="110">
        <v>8</v>
      </c>
      <c r="E1174" s="836"/>
      <c r="F1174" s="111">
        <f>+D1174*E1174</f>
        <v>0</v>
      </c>
    </row>
    <row r="1175" spans="1:6" ht="15">
      <c r="A1175" s="52" t="s">
        <v>1260</v>
      </c>
      <c r="B1175" s="278" t="s">
        <v>1238</v>
      </c>
      <c r="C1175" s="310" t="s">
        <v>183</v>
      </c>
      <c r="D1175" s="110">
        <v>6</v>
      </c>
      <c r="E1175" s="836"/>
      <c r="F1175" s="111">
        <f>+D1175*E1175</f>
        <v>0</v>
      </c>
    </row>
    <row r="1176" spans="1:6" ht="15">
      <c r="A1176" s="171"/>
      <c r="B1176" s="64"/>
      <c r="C1176" s="274"/>
      <c r="D1176" s="135"/>
      <c r="E1176" s="837"/>
      <c r="F1176" s="137"/>
    </row>
    <row r="1177" spans="1:6" ht="15">
      <c r="A1177" s="338"/>
      <c r="B1177" s="216" t="s">
        <v>1237</v>
      </c>
      <c r="C1177" s="379"/>
      <c r="D1177" s="163"/>
      <c r="E1177" s="838"/>
      <c r="F1177" s="164">
        <f>SUM(F1158:F1176)</f>
        <v>0</v>
      </c>
    </row>
    <row r="1180" spans="1:6" ht="15.75">
      <c r="A1180" s="334" t="s">
        <v>410</v>
      </c>
      <c r="B1180" s="6" t="s">
        <v>411</v>
      </c>
      <c r="C1180" s="209"/>
      <c r="D1180" s="209"/>
      <c r="E1180" s="811"/>
      <c r="F1180" s="200"/>
    </row>
    <row r="1181" spans="1:6" ht="15">
      <c r="A1181" s="335"/>
      <c r="B1181" s="210" t="s">
        <v>30</v>
      </c>
      <c r="C1181" s="377"/>
      <c r="D1181" s="211"/>
      <c r="E1181" s="796"/>
      <c r="F1181" s="212"/>
    </row>
    <row r="1182" spans="1:6" ht="15">
      <c r="A1182" s="52" t="s">
        <v>25</v>
      </c>
      <c r="B1182" s="40" t="s">
        <v>31</v>
      </c>
      <c r="C1182" s="297"/>
      <c r="D1182" s="197"/>
      <c r="E1182" s="802"/>
      <c r="F1182" s="198"/>
    </row>
    <row r="1183" spans="1:6" ht="15">
      <c r="A1183" s="52" t="s">
        <v>26</v>
      </c>
      <c r="B1183" s="40" t="s">
        <v>155</v>
      </c>
      <c r="C1183" s="297"/>
      <c r="D1183" s="197"/>
      <c r="E1183" s="802"/>
      <c r="F1183" s="198"/>
    </row>
    <row r="1184" spans="1:6" ht="15">
      <c r="A1184" s="52" t="s">
        <v>27</v>
      </c>
      <c r="B1184" s="40" t="s">
        <v>103</v>
      </c>
      <c r="C1184" s="297"/>
      <c r="D1184" s="197"/>
      <c r="E1184" s="802"/>
      <c r="F1184" s="198"/>
    </row>
    <row r="1185" spans="1:6" ht="22.5">
      <c r="A1185" s="52" t="s">
        <v>1</v>
      </c>
      <c r="B1185" s="40" t="s">
        <v>104</v>
      </c>
      <c r="C1185" s="297"/>
      <c r="D1185" s="197"/>
      <c r="E1185" s="802"/>
      <c r="F1185" s="198"/>
    </row>
    <row r="1186" spans="1:6" ht="22.5">
      <c r="A1186" s="52" t="s">
        <v>2</v>
      </c>
      <c r="B1186" s="40" t="s">
        <v>105</v>
      </c>
      <c r="C1186" s="297"/>
      <c r="D1186" s="197"/>
      <c r="E1186" s="802"/>
      <c r="F1186" s="198"/>
    </row>
    <row r="1187" spans="1:6" ht="15">
      <c r="A1187" s="52" t="s">
        <v>3</v>
      </c>
      <c r="B1187" s="40" t="s">
        <v>106</v>
      </c>
      <c r="C1187" s="297"/>
      <c r="D1187" s="197"/>
      <c r="E1187" s="802"/>
      <c r="F1187" s="198"/>
    </row>
    <row r="1188" spans="1:6" ht="15">
      <c r="A1188" s="52" t="s">
        <v>4</v>
      </c>
      <c r="B1188" s="40" t="s">
        <v>107</v>
      </c>
      <c r="C1188" s="297"/>
      <c r="D1188" s="197"/>
      <c r="E1188" s="802"/>
      <c r="F1188" s="198"/>
    </row>
    <row r="1189" spans="1:6" ht="15">
      <c r="A1189" s="52" t="s">
        <v>5</v>
      </c>
      <c r="B1189" s="40" t="s">
        <v>108</v>
      </c>
      <c r="C1189" s="297"/>
      <c r="D1189" s="197"/>
      <c r="E1189" s="802"/>
      <c r="F1189" s="198"/>
    </row>
    <row r="1190" spans="1:6" ht="22.5">
      <c r="A1190" s="52" t="s">
        <v>8</v>
      </c>
      <c r="B1190" s="40" t="s">
        <v>109</v>
      </c>
      <c r="C1190" s="297"/>
      <c r="D1190" s="197"/>
      <c r="E1190" s="802"/>
      <c r="F1190" s="198"/>
    </row>
    <row r="1191" spans="1:6" ht="15">
      <c r="A1191" s="52" t="s">
        <v>10</v>
      </c>
      <c r="B1191" s="40" t="s">
        <v>110</v>
      </c>
      <c r="C1191" s="297"/>
      <c r="D1191" s="197"/>
      <c r="E1191" s="802"/>
      <c r="F1191" s="198"/>
    </row>
    <row r="1192" spans="1:6" ht="15">
      <c r="A1192" s="52" t="s">
        <v>11</v>
      </c>
      <c r="B1192" s="40" t="s">
        <v>408</v>
      </c>
      <c r="C1192" s="297"/>
      <c r="D1192" s="197"/>
      <c r="E1192" s="802"/>
      <c r="F1192" s="198"/>
    </row>
    <row r="1193" spans="1:6" ht="299.25" customHeight="1">
      <c r="A1193" s="52"/>
      <c r="B1193" s="60" t="s">
        <v>1178</v>
      </c>
      <c r="C1193" s="297"/>
      <c r="D1193" s="197"/>
      <c r="E1193" s="802"/>
      <c r="F1193" s="198"/>
    </row>
    <row r="1194" spans="1:6" ht="22.5">
      <c r="A1194" s="261" t="s">
        <v>28</v>
      </c>
      <c r="B1194" s="38" t="s">
        <v>43</v>
      </c>
      <c r="C1194" s="297"/>
      <c r="D1194" s="197"/>
      <c r="E1194" s="802"/>
      <c r="F1194" s="198"/>
    </row>
    <row r="1195" spans="1:6" ht="15">
      <c r="A1195" s="261"/>
      <c r="B1195" s="253" t="s">
        <v>784</v>
      </c>
      <c r="C1195" s="297"/>
      <c r="D1195" s="197"/>
      <c r="E1195" s="802"/>
      <c r="F1195" s="198"/>
    </row>
    <row r="1196" spans="1:6" ht="15">
      <c r="A1196" s="261"/>
      <c r="B1196" s="254" t="s">
        <v>785</v>
      </c>
      <c r="C1196" s="297"/>
      <c r="D1196" s="197"/>
      <c r="E1196" s="802"/>
      <c r="F1196" s="198"/>
    </row>
    <row r="1197" spans="1:6" ht="15">
      <c r="A1197" s="261"/>
      <c r="B1197" s="254" t="s">
        <v>786</v>
      </c>
      <c r="C1197" s="297"/>
      <c r="D1197" s="197"/>
      <c r="E1197" s="802"/>
      <c r="F1197" s="198"/>
    </row>
    <row r="1198" spans="1:6" ht="30">
      <c r="A1198" s="261"/>
      <c r="B1198" s="254" t="s">
        <v>787</v>
      </c>
      <c r="C1198" s="297"/>
      <c r="D1198" s="197"/>
      <c r="E1198" s="802"/>
      <c r="F1198" s="198"/>
    </row>
    <row r="1199" spans="1:6" ht="15">
      <c r="A1199" s="261"/>
      <c r="B1199" s="254" t="s">
        <v>788</v>
      </c>
      <c r="C1199" s="297"/>
      <c r="D1199" s="197"/>
      <c r="E1199" s="802"/>
      <c r="F1199" s="198"/>
    </row>
    <row r="1200" spans="1:6" ht="30">
      <c r="A1200" s="261"/>
      <c r="B1200" s="254" t="s">
        <v>789</v>
      </c>
      <c r="C1200" s="297"/>
      <c r="D1200" s="197"/>
      <c r="E1200" s="802"/>
      <c r="F1200" s="198"/>
    </row>
    <row r="1201" spans="1:6" ht="30">
      <c r="A1201" s="261"/>
      <c r="B1201" s="254" t="s">
        <v>790</v>
      </c>
      <c r="C1201" s="297"/>
      <c r="D1201" s="197"/>
      <c r="E1201" s="802"/>
      <c r="F1201" s="198"/>
    </row>
    <row r="1202" spans="1:6" ht="30">
      <c r="A1202" s="261"/>
      <c r="B1202" s="254" t="s">
        <v>791</v>
      </c>
      <c r="C1202" s="297"/>
      <c r="D1202" s="197"/>
      <c r="E1202" s="802"/>
      <c r="F1202" s="198"/>
    </row>
    <row r="1203" spans="1:6" ht="30">
      <c r="A1203" s="261"/>
      <c r="B1203" s="254" t="s">
        <v>792</v>
      </c>
      <c r="C1203" s="297"/>
      <c r="D1203" s="197"/>
      <c r="E1203" s="802"/>
      <c r="F1203" s="198"/>
    </row>
    <row r="1204" spans="1:6" ht="15">
      <c r="A1204" s="261"/>
      <c r="B1204" s="254" t="s">
        <v>793</v>
      </c>
      <c r="C1204" s="297"/>
      <c r="D1204" s="197"/>
      <c r="E1204" s="802"/>
      <c r="F1204" s="198"/>
    </row>
    <row r="1205" spans="1:6" ht="15">
      <c r="A1205" s="261"/>
      <c r="B1205" s="254" t="s">
        <v>794</v>
      </c>
      <c r="C1205" s="297"/>
      <c r="D1205" s="197"/>
      <c r="E1205" s="802"/>
      <c r="F1205" s="198"/>
    </row>
    <row r="1206" spans="1:6" ht="30">
      <c r="A1206" s="261"/>
      <c r="B1206" s="254" t="s">
        <v>795</v>
      </c>
      <c r="C1206" s="297"/>
      <c r="D1206" s="197"/>
      <c r="E1206" s="802"/>
      <c r="F1206" s="198"/>
    </row>
    <row r="1207" spans="1:6" ht="15">
      <c r="A1207" s="261"/>
      <c r="B1207" s="254" t="s">
        <v>796</v>
      </c>
      <c r="C1207" s="297"/>
      <c r="D1207" s="197"/>
      <c r="E1207" s="802"/>
      <c r="F1207" s="198"/>
    </row>
    <row r="1208" spans="1:6" ht="21" customHeight="1">
      <c r="A1208" s="261"/>
      <c r="B1208" s="254" t="s">
        <v>797</v>
      </c>
      <c r="C1208" s="297"/>
      <c r="D1208" s="197"/>
      <c r="E1208" s="802"/>
      <c r="F1208" s="198"/>
    </row>
    <row r="1209" spans="1:6" ht="15">
      <c r="A1209" s="261"/>
      <c r="B1209" s="254" t="s">
        <v>798</v>
      </c>
      <c r="C1209" s="297"/>
      <c r="D1209" s="197"/>
      <c r="E1209" s="802"/>
      <c r="F1209" s="198"/>
    </row>
    <row r="1210" spans="1:6" ht="15">
      <c r="A1210" s="261"/>
      <c r="B1210" s="254" t="s">
        <v>799</v>
      </c>
      <c r="C1210" s="297"/>
      <c r="D1210" s="197"/>
      <c r="E1210" s="802"/>
      <c r="F1210" s="198"/>
    </row>
    <row r="1211" spans="1:6" ht="15">
      <c r="A1211" s="52"/>
      <c r="B1211" s="68"/>
      <c r="C1211" s="273"/>
      <c r="D1211" s="107"/>
      <c r="E1211" s="786"/>
      <c r="F1211" s="132"/>
    </row>
    <row r="1212" spans="1:6" ht="60">
      <c r="A1212" s="52"/>
      <c r="B1212" s="240" t="s">
        <v>755</v>
      </c>
      <c r="C1212" s="273"/>
      <c r="D1212" s="107"/>
      <c r="E1212" s="786"/>
      <c r="F1212" s="132"/>
    </row>
    <row r="1213" spans="1:6" ht="15">
      <c r="A1213" s="52"/>
      <c r="B1213" s="240"/>
      <c r="C1213" s="273"/>
      <c r="D1213" s="107"/>
      <c r="E1213" s="786"/>
      <c r="F1213" s="132"/>
    </row>
    <row r="1214" spans="1:6" ht="15.75">
      <c r="A1214" s="52"/>
      <c r="B1214" s="252" t="s">
        <v>783</v>
      </c>
      <c r="C1214" s="273"/>
      <c r="D1214" s="107"/>
      <c r="E1214" s="786"/>
      <c r="F1214" s="132"/>
    </row>
    <row r="1215" spans="1:6" ht="30.75">
      <c r="A1215" s="1"/>
      <c r="B1215" s="246" t="s">
        <v>774</v>
      </c>
      <c r="C1215" s="273"/>
      <c r="D1215" s="107"/>
      <c r="E1215" s="786"/>
      <c r="F1215" s="132"/>
    </row>
    <row r="1216" spans="1:6" ht="15">
      <c r="A1216" s="246"/>
      <c r="B1216" s="246" t="s">
        <v>758</v>
      </c>
      <c r="C1216" s="380"/>
      <c r="D1216" s="245"/>
      <c r="E1216" s="839"/>
      <c r="F1216" s="68"/>
    </row>
    <row r="1217" spans="1:6" ht="15">
      <c r="A1217" s="1"/>
      <c r="B1217" s="249" t="s">
        <v>759</v>
      </c>
      <c r="C1217" s="273"/>
      <c r="D1217" s="107"/>
      <c r="E1217" s="786"/>
      <c r="F1217" s="132"/>
    </row>
    <row r="1218" spans="1:6" ht="15">
      <c r="A1218" s="1"/>
      <c r="B1218" s="246" t="s">
        <v>760</v>
      </c>
      <c r="C1218" s="273"/>
      <c r="D1218" s="107"/>
      <c r="E1218" s="786"/>
      <c r="F1218" s="132"/>
    </row>
    <row r="1219" spans="1:6" ht="15">
      <c r="A1219" s="1"/>
      <c r="B1219" s="249" t="s">
        <v>761</v>
      </c>
      <c r="C1219" s="273"/>
      <c r="D1219" s="107"/>
      <c r="E1219" s="786"/>
      <c r="F1219" s="132"/>
    </row>
    <row r="1220" spans="1:6" ht="15">
      <c r="A1220" s="1"/>
      <c r="B1220" s="249" t="s">
        <v>762</v>
      </c>
      <c r="C1220" s="273"/>
      <c r="D1220" s="107"/>
      <c r="E1220" s="786"/>
      <c r="F1220" s="132"/>
    </row>
    <row r="1221" spans="1:6" ht="30.75">
      <c r="A1221" s="1"/>
      <c r="B1221" s="246" t="s">
        <v>775</v>
      </c>
      <c r="C1221" s="273"/>
      <c r="D1221" s="107"/>
      <c r="E1221" s="786"/>
      <c r="F1221" s="132"/>
    </row>
    <row r="1222" spans="1:6" ht="15.75">
      <c r="A1222" s="1"/>
      <c r="B1222" s="246" t="s">
        <v>776</v>
      </c>
      <c r="C1222" s="273"/>
      <c r="D1222" s="107"/>
      <c r="E1222" s="786"/>
      <c r="F1222" s="132"/>
    </row>
    <row r="1223" spans="1:6" ht="15.75">
      <c r="A1223" s="1"/>
      <c r="B1223" s="246" t="s">
        <v>777</v>
      </c>
      <c r="C1223" s="273"/>
      <c r="D1223" s="107"/>
      <c r="E1223" s="786"/>
      <c r="F1223" s="132"/>
    </row>
    <row r="1224" spans="1:6" ht="15.75">
      <c r="A1224" s="1"/>
      <c r="B1224" s="246" t="s">
        <v>778</v>
      </c>
      <c r="C1224" s="273"/>
      <c r="D1224" s="107"/>
      <c r="E1224" s="786"/>
      <c r="F1224" s="132"/>
    </row>
    <row r="1225" spans="1:6" ht="15.75">
      <c r="A1225" s="1"/>
      <c r="B1225" s="246" t="s">
        <v>779</v>
      </c>
      <c r="C1225" s="273"/>
      <c r="D1225" s="107"/>
      <c r="E1225" s="786"/>
      <c r="F1225" s="132"/>
    </row>
    <row r="1226" spans="1:6" ht="64.5" customHeight="1">
      <c r="A1226" s="1"/>
      <c r="B1226" s="246" t="s">
        <v>765</v>
      </c>
      <c r="C1226" s="273"/>
      <c r="D1226" s="107"/>
      <c r="E1226" s="786"/>
      <c r="F1226" s="132"/>
    </row>
    <row r="1227" spans="1:6" ht="45.75">
      <c r="A1227" s="1"/>
      <c r="B1227" s="246" t="s">
        <v>766</v>
      </c>
      <c r="C1227" s="273"/>
      <c r="D1227" s="107"/>
      <c r="E1227" s="786"/>
      <c r="F1227" s="132"/>
    </row>
    <row r="1228" spans="1:6" ht="30">
      <c r="A1228" s="1"/>
      <c r="B1228" s="249" t="s">
        <v>763</v>
      </c>
      <c r="C1228" s="273"/>
      <c r="D1228" s="107"/>
      <c r="E1228" s="786"/>
      <c r="F1228" s="132"/>
    </row>
    <row r="1229" spans="1:6" ht="15.75">
      <c r="A1229" s="1"/>
      <c r="B1229" s="246" t="s">
        <v>767</v>
      </c>
      <c r="C1229" s="273"/>
      <c r="D1229" s="107"/>
      <c r="E1229" s="786"/>
      <c r="F1229" s="132"/>
    </row>
    <row r="1230" spans="1:6" ht="15">
      <c r="A1230" s="1"/>
      <c r="B1230" s="246" t="s">
        <v>764</v>
      </c>
      <c r="C1230" s="273"/>
      <c r="D1230" s="107"/>
      <c r="E1230" s="786"/>
      <c r="F1230" s="132"/>
    </row>
    <row r="1231" spans="1:6" ht="31.5" customHeight="1">
      <c r="A1231" s="1"/>
      <c r="B1231" s="246" t="s">
        <v>768</v>
      </c>
      <c r="C1231" s="273"/>
      <c r="D1231" s="107"/>
      <c r="E1231" s="786"/>
      <c r="F1231" s="132"/>
    </row>
    <row r="1232" spans="1:6" ht="155.25" customHeight="1">
      <c r="A1232" s="1"/>
      <c r="B1232" s="246" t="s">
        <v>769</v>
      </c>
      <c r="C1232" s="273"/>
      <c r="D1232" s="107"/>
      <c r="E1232" s="786"/>
      <c r="F1232" s="132"/>
    </row>
    <row r="1233" spans="1:6" ht="75.75">
      <c r="A1233" s="1"/>
      <c r="B1233" s="246" t="s">
        <v>770</v>
      </c>
      <c r="C1233" s="273"/>
      <c r="D1233" s="107"/>
      <c r="E1233" s="786"/>
      <c r="F1233" s="132"/>
    </row>
    <row r="1234" spans="1:6" ht="45.75">
      <c r="A1234" s="1"/>
      <c r="B1234" s="246" t="s">
        <v>771</v>
      </c>
      <c r="C1234" s="273"/>
      <c r="D1234" s="107"/>
      <c r="E1234" s="786"/>
      <c r="F1234" s="132"/>
    </row>
    <row r="1235" spans="1:6" ht="165.75">
      <c r="A1235" s="1"/>
      <c r="B1235" s="246" t="s">
        <v>772</v>
      </c>
      <c r="C1235" s="273"/>
      <c r="D1235" s="107"/>
      <c r="E1235" s="786"/>
      <c r="F1235" s="132"/>
    </row>
    <row r="1236" spans="1:6" ht="30.75">
      <c r="A1236" s="247"/>
      <c r="B1236" s="246" t="s">
        <v>773</v>
      </c>
      <c r="C1236" s="273"/>
      <c r="D1236" s="107"/>
      <c r="E1236" s="786"/>
      <c r="F1236" s="132"/>
    </row>
    <row r="1237" spans="1:6" ht="120.75">
      <c r="A1237" s="906"/>
      <c r="B1237" s="250" t="s">
        <v>782</v>
      </c>
      <c r="C1237" s="273"/>
      <c r="D1237" s="107"/>
      <c r="E1237" s="786"/>
      <c r="F1237" s="132"/>
    </row>
    <row r="1238" spans="1:6" ht="75.75">
      <c r="A1238" s="906"/>
      <c r="B1238" s="250" t="s">
        <v>781</v>
      </c>
      <c r="C1238" s="273"/>
      <c r="D1238" s="107"/>
      <c r="E1238" s="786"/>
      <c r="F1238" s="132"/>
    </row>
    <row r="1239" spans="1:6" ht="15">
      <c r="A1239" s="906"/>
      <c r="B1239" s="246" t="s">
        <v>756</v>
      </c>
      <c r="C1239" s="273"/>
      <c r="D1239" s="107"/>
      <c r="E1239" s="786"/>
      <c r="F1239" s="132"/>
    </row>
    <row r="1240" spans="1:6" ht="45.75">
      <c r="A1240" s="906"/>
      <c r="B1240" s="246" t="s">
        <v>780</v>
      </c>
      <c r="C1240" s="273"/>
      <c r="D1240" s="107"/>
      <c r="E1240" s="786"/>
      <c r="F1240" s="132"/>
    </row>
    <row r="1241" spans="1:6" ht="15.75">
      <c r="A1241" s="906"/>
      <c r="B1241" s="251" t="s">
        <v>757</v>
      </c>
      <c r="C1241" s="273" t="s">
        <v>748</v>
      </c>
      <c r="D1241" s="132">
        <v>1</v>
      </c>
      <c r="E1241" s="757"/>
      <c r="F1241" s="132">
        <f>+D1241*E1241</f>
        <v>0</v>
      </c>
    </row>
    <row r="1242" spans="1:6" ht="15">
      <c r="A1242" s="248"/>
      <c r="B1242" s="342"/>
      <c r="C1242" s="273"/>
      <c r="D1242" s="107"/>
      <c r="E1242" s="786"/>
      <c r="F1242" s="132"/>
    </row>
    <row r="1243" spans="1:6" ht="15">
      <c r="A1243" s="52"/>
      <c r="B1243" s="68"/>
      <c r="C1243" s="273"/>
      <c r="D1243" s="107"/>
      <c r="E1243" s="786"/>
      <c r="F1243" s="132"/>
    </row>
    <row r="1244" spans="1:6" ht="15">
      <c r="A1244" s="338"/>
      <c r="B1244" s="216" t="s">
        <v>412</v>
      </c>
      <c r="C1244" s="379"/>
      <c r="D1244" s="163"/>
      <c r="E1244" s="838"/>
      <c r="F1244" s="164">
        <f>SUM(F1181:F1243)</f>
        <v>0</v>
      </c>
    </row>
  </sheetData>
  <sheetProtection password="EE55" sheet="1" selectLockedCells="1"/>
  <mergeCells count="2">
    <mergeCell ref="A1237:A1239"/>
    <mergeCell ref="A1240:A1241"/>
  </mergeCells>
  <printOptions/>
  <pageMargins left="0.35433070866141736" right="0.03937007874015748" top="0.35433070866141736" bottom="0.4330708661417323" header="0" footer="0.11811023622047245"/>
  <pageSetup horizontalDpi="600" verticalDpi="600" orientation="portrait" paperSize="9" scale="97" r:id="rId1"/>
  <headerFooter>
    <oddHeader>&amp;L&amp;D&amp;C________________________________________________________________________________________
&amp;R&amp;"Arial,Krepko"&amp;8BIRO APIS d.o.o.; Zemljemerska ulica 10; 1000 Ljubljana</oddHeader>
    <oddFooter>&amp;L
&amp;8&amp;F 
&amp;R&amp;"Arial,Krepko"
&amp;P&amp;"Arial,Navadno"&amp;8/&amp;N</oddFooter>
  </headerFooter>
  <rowBreaks count="21" manualBreakCount="21">
    <brk id="25" max="255" man="1"/>
    <brk id="66" max="5" man="1"/>
    <brk id="150" max="5" man="1"/>
    <brk id="204" max="5" man="1"/>
    <brk id="311" max="5" man="1"/>
    <brk id="363" max="255" man="1"/>
    <brk id="419" max="5" man="1"/>
    <brk id="447" max="5" man="1"/>
    <brk id="480" max="5" man="1"/>
    <brk id="763" max="255" man="1"/>
    <brk id="841" max="255" man="1"/>
    <brk id="879" max="5" man="1"/>
    <brk id="943" max="5" man="1"/>
    <brk id="994" max="5" man="1"/>
    <brk id="1021" max="5" man="1"/>
    <brk id="1048" max="5" man="1"/>
    <brk id="1070" max="5" man="1"/>
    <brk id="1092" max="5" man="1"/>
    <brk id="1136" max="5" man="1"/>
    <brk id="1155" max="5" man="1"/>
    <brk id="1178" max="255" man="1"/>
  </rowBreaks>
</worksheet>
</file>

<file path=xl/worksheets/sheet3.xml><?xml version="1.0" encoding="utf-8"?>
<worksheet xmlns="http://schemas.openxmlformats.org/spreadsheetml/2006/main" xmlns:r="http://schemas.openxmlformats.org/officeDocument/2006/relationships">
  <sheetPr>
    <tabColor rgb="FFFF00FF"/>
  </sheetPr>
  <dimension ref="A1:F267"/>
  <sheetViews>
    <sheetView view="pageBreakPreview" zoomScaleSheetLayoutView="100" zoomScalePageLayoutView="0" workbookViewId="0" topLeftCell="A43">
      <selection activeCell="E23" sqref="E23"/>
    </sheetView>
  </sheetViews>
  <sheetFormatPr defaultColWidth="9.140625" defaultRowHeight="12.75"/>
  <cols>
    <col min="1" max="1" width="5.421875" style="627" customWidth="1"/>
    <col min="2" max="2" width="59.8515625" style="429" customWidth="1"/>
    <col min="3" max="3" width="4.7109375" style="421" customWidth="1"/>
    <col min="4" max="4" width="9.140625" style="446" customWidth="1"/>
    <col min="5" max="5" width="9.57421875" style="861" customWidth="1"/>
    <col min="6" max="6" width="12.140625" style="446" customWidth="1"/>
    <col min="7" max="16384" width="9.140625" style="421" customWidth="1"/>
  </cols>
  <sheetData>
    <row r="1" spans="1:6" ht="15">
      <c r="A1" s="608"/>
      <c r="B1" s="420"/>
      <c r="C1" s="419"/>
      <c r="D1" s="419"/>
      <c r="E1" s="843"/>
      <c r="F1" s="419"/>
    </row>
    <row r="2" spans="1:6" ht="23.25">
      <c r="A2" s="609" t="s">
        <v>1562</v>
      </c>
      <c r="B2" s="430" t="s">
        <v>1563</v>
      </c>
      <c r="C2" s="422"/>
      <c r="D2" s="440"/>
      <c r="E2" s="844"/>
      <c r="F2" s="423"/>
    </row>
    <row r="3" spans="1:6" ht="15.75" thickBot="1">
      <c r="A3" s="610"/>
      <c r="B3" s="427"/>
      <c r="C3" s="422"/>
      <c r="D3" s="440"/>
      <c r="E3" s="844"/>
      <c r="F3" s="423"/>
    </row>
    <row r="4" spans="1:6" ht="15.75" thickBot="1">
      <c r="A4" s="611"/>
      <c r="B4" s="437" t="s">
        <v>1336</v>
      </c>
      <c r="C4" s="438"/>
      <c r="D4" s="439"/>
      <c r="E4" s="845"/>
      <c r="F4" s="439" t="s">
        <v>1555</v>
      </c>
    </row>
    <row r="5" spans="1:6" ht="15">
      <c r="A5" s="605"/>
      <c r="B5" s="435"/>
      <c r="C5" s="436"/>
      <c r="D5" s="441"/>
      <c r="E5" s="846"/>
      <c r="F5" s="441"/>
    </row>
    <row r="6" spans="1:6" ht="15">
      <c r="A6" s="606" t="s">
        <v>1338</v>
      </c>
      <c r="B6" s="431" t="str">
        <f>B35</f>
        <v>SVETILKE</v>
      </c>
      <c r="C6" s="432"/>
      <c r="D6" s="442"/>
      <c r="E6" s="847"/>
      <c r="F6" s="442">
        <f>F35</f>
        <v>0</v>
      </c>
    </row>
    <row r="7" spans="1:6" ht="15">
      <c r="A7" s="606" t="s">
        <v>716</v>
      </c>
      <c r="B7" s="431" t="str">
        <f>B52</f>
        <v>MONTAŽNI MATERIAL</v>
      </c>
      <c r="C7" s="432"/>
      <c r="D7" s="443"/>
      <c r="E7" s="847"/>
      <c r="F7" s="443">
        <f>F52</f>
        <v>0</v>
      </c>
    </row>
    <row r="8" spans="1:6" ht="15">
      <c r="A8" s="606" t="s">
        <v>1127</v>
      </c>
      <c r="B8" s="431" t="str">
        <f>B131</f>
        <v>OŽIČENJE IN IZVEDBA STROJNIH INŠTALACIJ</v>
      </c>
      <c r="C8" s="432"/>
      <c r="D8" s="443"/>
      <c r="E8" s="847"/>
      <c r="F8" s="443">
        <f>F131</f>
        <v>0</v>
      </c>
    </row>
    <row r="9" spans="1:6" ht="15">
      <c r="A9" s="606" t="s">
        <v>1339</v>
      </c>
      <c r="B9" s="431" t="str">
        <f>B157</f>
        <v>RAZDELILNIKI</v>
      </c>
      <c r="C9" s="432"/>
      <c r="D9" s="443"/>
      <c r="E9" s="847"/>
      <c r="F9" s="443">
        <f>F157</f>
        <v>0</v>
      </c>
    </row>
    <row r="10" spans="1:6" ht="15">
      <c r="A10" s="606" t="s">
        <v>1340</v>
      </c>
      <c r="B10" s="431" t="str">
        <f>B210</f>
        <v>DOMOFON IN KONTROLA PRISTOPA</v>
      </c>
      <c r="C10" s="432"/>
      <c r="D10" s="443"/>
      <c r="E10" s="847"/>
      <c r="F10" s="443">
        <f>F210</f>
        <v>0</v>
      </c>
    </row>
    <row r="11" spans="1:6" ht="15">
      <c r="A11" s="606" t="s">
        <v>1341</v>
      </c>
      <c r="B11" s="431" t="str">
        <f>B245</f>
        <v>STRELOVOD</v>
      </c>
      <c r="C11" s="432"/>
      <c r="D11" s="443"/>
      <c r="E11" s="847"/>
      <c r="F11" s="443">
        <f>F245</f>
        <v>0</v>
      </c>
    </row>
    <row r="12" spans="1:6" ht="15.75" thickBot="1">
      <c r="A12" s="607" t="s">
        <v>1342</v>
      </c>
      <c r="B12" s="433" t="str">
        <f>B263</f>
        <v>OSTALE OBVEZNOSTI</v>
      </c>
      <c r="C12" s="434"/>
      <c r="D12" s="444"/>
      <c r="E12" s="848"/>
      <c r="F12" s="444">
        <f>F263</f>
        <v>0</v>
      </c>
    </row>
    <row r="13" spans="1:6" ht="15.75" thickBot="1">
      <c r="A13" s="647"/>
      <c r="B13" s="648" t="s">
        <v>1343</v>
      </c>
      <c r="C13" s="649"/>
      <c r="D13" s="650"/>
      <c r="E13" s="849"/>
      <c r="F13" s="650">
        <f>SUM(F6:F12)</f>
        <v>0</v>
      </c>
    </row>
    <row r="14" spans="1:6" ht="15">
      <c r="A14" s="612"/>
      <c r="B14" s="428"/>
      <c r="C14" s="424"/>
      <c r="D14" s="423"/>
      <c r="E14" s="844"/>
      <c r="F14" s="423"/>
    </row>
    <row r="15" spans="1:6" s="657" customFormat="1" ht="15">
      <c r="A15" s="618" t="s">
        <v>34</v>
      </c>
      <c r="B15" s="656" t="s">
        <v>35</v>
      </c>
      <c r="C15" s="569" t="s">
        <v>52</v>
      </c>
      <c r="D15" s="569" t="s">
        <v>51</v>
      </c>
      <c r="E15" s="850" t="s">
        <v>113</v>
      </c>
      <c r="F15" s="569" t="s">
        <v>36</v>
      </c>
    </row>
    <row r="16" spans="1:6" ht="15.75">
      <c r="A16" s="613"/>
      <c r="B16" s="561" t="s">
        <v>1344</v>
      </c>
      <c r="C16" s="432"/>
      <c r="D16" s="443"/>
      <c r="E16" s="851"/>
      <c r="F16" s="443"/>
    </row>
    <row r="17" spans="1:6" ht="44.25" customHeight="1">
      <c r="A17" s="613"/>
      <c r="B17" s="630" t="s">
        <v>1564</v>
      </c>
      <c r="C17" s="432"/>
      <c r="D17" s="443"/>
      <c r="E17" s="851"/>
      <c r="F17" s="443"/>
    </row>
    <row r="18" spans="1:6" ht="38.25">
      <c r="A18" s="613"/>
      <c r="B18" s="630" t="s">
        <v>1346</v>
      </c>
      <c r="C18" s="432"/>
      <c r="D18" s="443"/>
      <c r="E18" s="851"/>
      <c r="F18" s="443"/>
    </row>
    <row r="19" spans="1:6" ht="51">
      <c r="A19" s="613"/>
      <c r="B19" s="631" t="s">
        <v>1347</v>
      </c>
      <c r="C19" s="432"/>
      <c r="D19" s="443"/>
      <c r="E19" s="851"/>
      <c r="F19" s="443"/>
    </row>
    <row r="20" spans="1:6" ht="15">
      <c r="A20" s="614"/>
      <c r="B20" s="632" t="s">
        <v>1348</v>
      </c>
      <c r="C20" s="562"/>
      <c r="D20" s="562"/>
      <c r="E20" s="852"/>
      <c r="F20" s="562"/>
    </row>
    <row r="21" spans="1:6" ht="25.5">
      <c r="A21" s="615"/>
      <c r="B21" s="633" t="s">
        <v>1349</v>
      </c>
      <c r="C21" s="562"/>
      <c r="D21" s="562"/>
      <c r="E21" s="852"/>
      <c r="F21" s="562"/>
    </row>
    <row r="22" spans="1:6" ht="68.25" customHeight="1">
      <c r="A22" s="616" t="s">
        <v>1350</v>
      </c>
      <c r="B22" s="634" t="s">
        <v>1351</v>
      </c>
      <c r="C22" s="562"/>
      <c r="D22" s="562"/>
      <c r="E22" s="852"/>
      <c r="F22" s="562"/>
    </row>
    <row r="23" spans="1:6" ht="38.25">
      <c r="A23" s="616" t="s">
        <v>1352</v>
      </c>
      <c r="B23" s="634" t="s">
        <v>1353</v>
      </c>
      <c r="C23" s="562"/>
      <c r="D23" s="562"/>
      <c r="E23" s="852"/>
      <c r="F23" s="562"/>
    </row>
    <row r="24" spans="1:6" ht="67.5" customHeight="1">
      <c r="A24" s="616" t="s">
        <v>1354</v>
      </c>
      <c r="B24" s="634" t="s">
        <v>1355</v>
      </c>
      <c r="C24" s="562"/>
      <c r="D24" s="562"/>
      <c r="E24" s="852"/>
      <c r="F24" s="562"/>
    </row>
    <row r="25" spans="1:6" ht="25.5">
      <c r="A25" s="616" t="s">
        <v>1356</v>
      </c>
      <c r="B25" s="634" t="s">
        <v>1357</v>
      </c>
      <c r="C25" s="562"/>
      <c r="D25" s="562"/>
      <c r="E25" s="852"/>
      <c r="F25" s="562"/>
    </row>
    <row r="26" spans="1:6" ht="51">
      <c r="A26" s="616" t="s">
        <v>1358</v>
      </c>
      <c r="B26" s="634" t="s">
        <v>1359</v>
      </c>
      <c r="C26" s="562"/>
      <c r="D26" s="562"/>
      <c r="E26" s="852"/>
      <c r="F26" s="562"/>
    </row>
    <row r="27" spans="1:6" ht="25.5">
      <c r="A27" s="616" t="s">
        <v>1360</v>
      </c>
      <c r="B27" s="634" t="s">
        <v>1361</v>
      </c>
      <c r="C27" s="562"/>
      <c r="D27" s="562"/>
      <c r="E27" s="852"/>
      <c r="F27" s="562"/>
    </row>
    <row r="28" spans="1:6" ht="25.5">
      <c r="A28" s="616" t="s">
        <v>1362</v>
      </c>
      <c r="B28" s="634" t="s">
        <v>1363</v>
      </c>
      <c r="C28" s="562"/>
      <c r="D28" s="562"/>
      <c r="E28" s="852"/>
      <c r="F28" s="562"/>
    </row>
    <row r="29" spans="1:6" ht="18.75" customHeight="1">
      <c r="A29" s="616" t="s">
        <v>1364</v>
      </c>
      <c r="B29" s="634" t="s">
        <v>1365</v>
      </c>
      <c r="C29" s="562"/>
      <c r="D29" s="562"/>
      <c r="E29" s="852"/>
      <c r="F29" s="562"/>
    </row>
    <row r="30" spans="1:6" ht="54" customHeight="1">
      <c r="A30" s="616" t="s">
        <v>1366</v>
      </c>
      <c r="B30" s="634" t="s">
        <v>1367</v>
      </c>
      <c r="C30" s="562"/>
      <c r="D30" s="562"/>
      <c r="E30" s="852"/>
      <c r="F30" s="562"/>
    </row>
    <row r="31" spans="1:6" ht="18" customHeight="1">
      <c r="A31" s="616" t="s">
        <v>1368</v>
      </c>
      <c r="B31" s="634" t="s">
        <v>1369</v>
      </c>
      <c r="C31" s="562"/>
      <c r="D31" s="562"/>
      <c r="E31" s="852"/>
      <c r="F31" s="562"/>
    </row>
    <row r="32" spans="1:6" ht="38.25">
      <c r="A32" s="616" t="s">
        <v>1370</v>
      </c>
      <c r="B32" s="634" t="s">
        <v>1371</v>
      </c>
      <c r="C32" s="562"/>
      <c r="D32" s="562"/>
      <c r="E32" s="852"/>
      <c r="F32" s="562"/>
    </row>
    <row r="33" spans="1:6" ht="18.75" customHeight="1">
      <c r="A33" s="613" t="s">
        <v>1372</v>
      </c>
      <c r="B33" s="635" t="s">
        <v>1365</v>
      </c>
      <c r="C33" s="562"/>
      <c r="D33" s="562"/>
      <c r="E33" s="852"/>
      <c r="F33" s="562"/>
    </row>
    <row r="34" spans="1:6" ht="15">
      <c r="A34" s="613" t="s">
        <v>1373</v>
      </c>
      <c r="B34" s="635" t="s">
        <v>1374</v>
      </c>
      <c r="C34" s="562"/>
      <c r="D34" s="562"/>
      <c r="E34" s="852"/>
      <c r="F34" s="562"/>
    </row>
    <row r="35" spans="1:6" ht="15">
      <c r="A35" s="617" t="s">
        <v>1338</v>
      </c>
      <c r="B35" s="564" t="s">
        <v>1375</v>
      </c>
      <c r="C35" s="565"/>
      <c r="D35" s="566"/>
      <c r="E35" s="853"/>
      <c r="F35" s="426">
        <f>SUM(F38:F50)</f>
        <v>0</v>
      </c>
    </row>
    <row r="36" spans="1:6" ht="15">
      <c r="A36" s="617"/>
      <c r="B36" s="564" t="s">
        <v>1376</v>
      </c>
      <c r="C36" s="565"/>
      <c r="D36" s="566"/>
      <c r="E36" s="853"/>
      <c r="F36" s="567"/>
    </row>
    <row r="38" spans="1:6" ht="81" customHeight="1">
      <c r="A38" s="619">
        <f>MAX($A$15:$A15)+1</f>
        <v>1</v>
      </c>
      <c r="B38" s="570" t="s">
        <v>1556</v>
      </c>
      <c r="C38" s="571" t="s">
        <v>520</v>
      </c>
      <c r="D38" s="571">
        <v>20</v>
      </c>
      <c r="E38" s="628"/>
      <c r="F38" s="572">
        <f aca="true" t="shared" si="0" ref="F38:F49">+E38*D38</f>
        <v>0</v>
      </c>
    </row>
    <row r="39" spans="1:6" ht="60">
      <c r="A39" s="619">
        <f>MAX($A$15:$A38)+1</f>
        <v>2</v>
      </c>
      <c r="B39" s="570" t="s">
        <v>1557</v>
      </c>
      <c r="C39" s="571" t="s">
        <v>520</v>
      </c>
      <c r="D39" s="571">
        <v>26</v>
      </c>
      <c r="E39" s="628"/>
      <c r="F39" s="572">
        <f t="shared" si="0"/>
        <v>0</v>
      </c>
    </row>
    <row r="40" spans="1:6" ht="60">
      <c r="A40" s="619">
        <f>MAX($A$15:$A39)+1</f>
        <v>3</v>
      </c>
      <c r="B40" s="570" t="s">
        <v>1558</v>
      </c>
      <c r="C40" s="571" t="s">
        <v>520</v>
      </c>
      <c r="D40" s="571">
        <v>32</v>
      </c>
      <c r="E40" s="628"/>
      <c r="F40" s="572">
        <f t="shared" si="0"/>
        <v>0</v>
      </c>
    </row>
    <row r="41" spans="1:6" ht="30">
      <c r="A41" s="619">
        <f>MAX($A$15:$A40)+1</f>
        <v>4</v>
      </c>
      <c r="B41" s="570" t="s">
        <v>1559</v>
      </c>
      <c r="C41" s="571" t="s">
        <v>520</v>
      </c>
      <c r="D41" s="571">
        <v>5</v>
      </c>
      <c r="E41" s="628"/>
      <c r="F41" s="572">
        <f t="shared" si="0"/>
        <v>0</v>
      </c>
    </row>
    <row r="42" spans="1:6" ht="15">
      <c r="A42" s="619" t="s">
        <v>1381</v>
      </c>
      <c r="B42" s="570" t="s">
        <v>1382</v>
      </c>
      <c r="C42" s="571" t="s">
        <v>520</v>
      </c>
      <c r="D42" s="571">
        <v>5</v>
      </c>
      <c r="E42" s="628"/>
      <c r="F42" s="572">
        <f t="shared" si="0"/>
        <v>0</v>
      </c>
    </row>
    <row r="43" spans="1:6" ht="60">
      <c r="A43" s="619">
        <f>MAX($A$15:$A42)+1</f>
        <v>5</v>
      </c>
      <c r="B43" s="570" t="s">
        <v>1560</v>
      </c>
      <c r="C43" s="571" t="s">
        <v>520</v>
      </c>
      <c r="D43" s="571">
        <v>6</v>
      </c>
      <c r="E43" s="628"/>
      <c r="F43" s="572">
        <f t="shared" si="0"/>
        <v>0</v>
      </c>
    </row>
    <row r="44" spans="1:6" ht="15">
      <c r="A44" s="619" t="s">
        <v>1381</v>
      </c>
      <c r="B44" s="570" t="s">
        <v>1382</v>
      </c>
      <c r="C44" s="571" t="s">
        <v>520</v>
      </c>
      <c r="D44" s="571">
        <v>6</v>
      </c>
      <c r="E44" s="628"/>
      <c r="F44" s="572">
        <f t="shared" si="0"/>
        <v>0</v>
      </c>
    </row>
    <row r="45" spans="1:6" ht="60">
      <c r="A45" s="619">
        <f>MAX($A$15:$A43)+1</f>
        <v>6</v>
      </c>
      <c r="B45" s="570" t="s">
        <v>1561</v>
      </c>
      <c r="C45" s="571" t="s">
        <v>520</v>
      </c>
      <c r="D45" s="571">
        <v>2</v>
      </c>
      <c r="E45" s="628"/>
      <c r="F45" s="572">
        <f t="shared" si="0"/>
        <v>0</v>
      </c>
    </row>
    <row r="46" spans="1:6" ht="30">
      <c r="A46" s="619">
        <f>MAX($A$15:$A43)+1</f>
        <v>6</v>
      </c>
      <c r="B46" s="570" t="s">
        <v>1383</v>
      </c>
      <c r="C46" s="571" t="s">
        <v>520</v>
      </c>
      <c r="D46" s="571">
        <v>29</v>
      </c>
      <c r="E46" s="628"/>
      <c r="F46" s="572">
        <f t="shared" si="0"/>
        <v>0</v>
      </c>
    </row>
    <row r="47" spans="1:6" ht="20.25" customHeight="1">
      <c r="A47" s="619">
        <f>MAX($A$15:$A46)+1</f>
        <v>7</v>
      </c>
      <c r="B47" s="570" t="s">
        <v>1384</v>
      </c>
      <c r="C47" s="571" t="s">
        <v>748</v>
      </c>
      <c r="D47" s="571">
        <v>1</v>
      </c>
      <c r="E47" s="628"/>
      <c r="F47" s="572">
        <f t="shared" si="0"/>
        <v>0</v>
      </c>
    </row>
    <row r="48" spans="1:6" ht="30">
      <c r="A48" s="619">
        <f>MAX($A$15:$A47)+1</f>
        <v>8</v>
      </c>
      <c r="B48" s="570" t="s">
        <v>1385</v>
      </c>
      <c r="C48" s="571" t="s">
        <v>748</v>
      </c>
      <c r="D48" s="571">
        <v>1</v>
      </c>
      <c r="E48" s="628"/>
      <c r="F48" s="572">
        <f t="shared" si="0"/>
        <v>0</v>
      </c>
    </row>
    <row r="49" spans="1:6" ht="30">
      <c r="A49" s="619">
        <f>MAX($A$15:$A48)+1</f>
        <v>9</v>
      </c>
      <c r="B49" s="570" t="s">
        <v>1386</v>
      </c>
      <c r="C49" s="571" t="s">
        <v>520</v>
      </c>
      <c r="D49" s="571">
        <v>14</v>
      </c>
      <c r="E49" s="628"/>
      <c r="F49" s="572">
        <f t="shared" si="0"/>
        <v>0</v>
      </c>
    </row>
    <row r="50" spans="1:6" ht="15">
      <c r="A50" s="619">
        <f>MAX($A$15:$A48)+1</f>
        <v>9</v>
      </c>
      <c r="B50" s="573" t="s">
        <v>1387</v>
      </c>
      <c r="C50" s="574" t="s">
        <v>1388</v>
      </c>
      <c r="D50" s="574">
        <v>3</v>
      </c>
      <c r="E50" s="852"/>
      <c r="F50" s="572">
        <f>SUM(F38:F49)*D50%</f>
        <v>0</v>
      </c>
    </row>
    <row r="51" spans="1:6" ht="15">
      <c r="A51" s="619"/>
      <c r="B51" s="573"/>
      <c r="C51" s="574"/>
      <c r="D51" s="574"/>
      <c r="E51" s="852"/>
      <c r="F51" s="572"/>
    </row>
    <row r="52" spans="1:6" ht="15">
      <c r="A52" s="617" t="s">
        <v>716</v>
      </c>
      <c r="B52" s="576" t="s">
        <v>1389</v>
      </c>
      <c r="C52" s="577"/>
      <c r="D52" s="566"/>
      <c r="E52" s="853"/>
      <c r="F52" s="426">
        <f>SUBTOTAL(9,F57:F129)</f>
        <v>0</v>
      </c>
    </row>
    <row r="53" spans="1:6" ht="15">
      <c r="A53" s="621"/>
      <c r="B53" s="564" t="s">
        <v>1376</v>
      </c>
      <c r="C53" s="578"/>
      <c r="D53" s="567"/>
      <c r="E53" s="853"/>
      <c r="F53" s="567"/>
    </row>
    <row r="54" spans="1:6" ht="15">
      <c r="A54" s="621"/>
      <c r="B54" s="564"/>
      <c r="C54" s="578"/>
      <c r="D54" s="567"/>
      <c r="E54" s="853"/>
      <c r="F54" s="567"/>
    </row>
    <row r="55" spans="1:6" ht="15">
      <c r="A55" s="621"/>
      <c r="B55" s="579" t="s">
        <v>1377</v>
      </c>
      <c r="C55" s="578" t="s">
        <v>1378</v>
      </c>
      <c r="D55" s="567" t="s">
        <v>1379</v>
      </c>
      <c r="E55" s="853" t="s">
        <v>1380</v>
      </c>
      <c r="F55" s="567" t="s">
        <v>1337</v>
      </c>
    </row>
    <row r="56" spans="1:6" ht="15">
      <c r="A56" s="619">
        <f>MAX($A$36:$A55)+1</f>
        <v>10</v>
      </c>
      <c r="B56" s="580" t="s">
        <v>1390</v>
      </c>
      <c r="C56" s="581"/>
      <c r="D56" s="571"/>
      <c r="E56" s="854"/>
      <c r="F56" s="572"/>
    </row>
    <row r="57" spans="1:6" ht="15">
      <c r="A57" s="619"/>
      <c r="B57" s="580" t="s">
        <v>1391</v>
      </c>
      <c r="C57" s="581" t="s">
        <v>650</v>
      </c>
      <c r="D57" s="571">
        <v>150</v>
      </c>
      <c r="E57" s="628"/>
      <c r="F57" s="575">
        <f aca="true" t="shared" si="1" ref="F57:F64">+D57*E57</f>
        <v>0</v>
      </c>
    </row>
    <row r="58" spans="1:6" ht="15">
      <c r="A58" s="619"/>
      <c r="B58" s="580" t="s">
        <v>1392</v>
      </c>
      <c r="C58" s="581" t="s">
        <v>650</v>
      </c>
      <c r="D58" s="571">
        <v>3300</v>
      </c>
      <c r="E58" s="628"/>
      <c r="F58" s="575">
        <f t="shared" si="1"/>
        <v>0</v>
      </c>
    </row>
    <row r="59" spans="1:6" ht="15">
      <c r="A59" s="619"/>
      <c r="B59" s="580" t="s">
        <v>1393</v>
      </c>
      <c r="C59" s="581" t="s">
        <v>650</v>
      </c>
      <c r="D59" s="571">
        <v>6200</v>
      </c>
      <c r="E59" s="628"/>
      <c r="F59" s="575">
        <f t="shared" si="1"/>
        <v>0</v>
      </c>
    </row>
    <row r="60" spans="1:6" ht="15">
      <c r="A60" s="619"/>
      <c r="B60" s="580" t="s">
        <v>1394</v>
      </c>
      <c r="C60" s="581" t="s">
        <v>650</v>
      </c>
      <c r="D60" s="571">
        <v>400</v>
      </c>
      <c r="E60" s="628"/>
      <c r="F60" s="575">
        <f>+D60*E60</f>
        <v>0</v>
      </c>
    </row>
    <row r="61" spans="1:6" ht="15">
      <c r="A61" s="619"/>
      <c r="B61" s="580" t="s">
        <v>1395</v>
      </c>
      <c r="C61" s="581" t="s">
        <v>650</v>
      </c>
      <c r="D61" s="571">
        <v>200</v>
      </c>
      <c r="E61" s="628"/>
      <c r="F61" s="575">
        <f t="shared" si="1"/>
        <v>0</v>
      </c>
    </row>
    <row r="62" spans="1:6" ht="15">
      <c r="A62" s="619"/>
      <c r="B62" s="580" t="s">
        <v>1396</v>
      </c>
      <c r="C62" s="581" t="s">
        <v>650</v>
      </c>
      <c r="D62" s="571">
        <v>60</v>
      </c>
      <c r="E62" s="628"/>
      <c r="F62" s="575">
        <f>+D62*E62</f>
        <v>0</v>
      </c>
    </row>
    <row r="63" spans="1:6" ht="15">
      <c r="A63" s="619"/>
      <c r="B63" s="580" t="s">
        <v>1397</v>
      </c>
      <c r="C63" s="581" t="s">
        <v>650</v>
      </c>
      <c r="D63" s="571">
        <v>40</v>
      </c>
      <c r="E63" s="628"/>
      <c r="F63" s="575">
        <f t="shared" si="1"/>
        <v>0</v>
      </c>
    </row>
    <row r="64" spans="1:6" ht="15">
      <c r="A64" s="619"/>
      <c r="B64" s="580" t="s">
        <v>1398</v>
      </c>
      <c r="C64" s="581" t="s">
        <v>650</v>
      </c>
      <c r="D64" s="571">
        <v>1100</v>
      </c>
      <c r="E64" s="628"/>
      <c r="F64" s="575">
        <f t="shared" si="1"/>
        <v>0</v>
      </c>
    </row>
    <row r="65" spans="1:6" ht="15">
      <c r="A65" s="619">
        <f>MAX($A$36:$A64)+1</f>
        <v>11</v>
      </c>
      <c r="B65" s="580" t="s">
        <v>1399</v>
      </c>
      <c r="C65" s="581" t="s">
        <v>650</v>
      </c>
      <c r="D65" s="571">
        <v>1200</v>
      </c>
      <c r="E65" s="628"/>
      <c r="F65" s="575">
        <f>+E65*D65</f>
        <v>0</v>
      </c>
    </row>
    <row r="66" spans="1:6" ht="15">
      <c r="A66" s="619">
        <f>MAX($A$36:$A65)+1</f>
        <v>12</v>
      </c>
      <c r="B66" s="580" t="s">
        <v>1400</v>
      </c>
      <c r="C66" s="581" t="s">
        <v>650</v>
      </c>
      <c r="D66" s="571">
        <v>2600</v>
      </c>
      <c r="E66" s="628"/>
      <c r="F66" s="575">
        <f>+E66*D66</f>
        <v>0</v>
      </c>
    </row>
    <row r="67" spans="1:6" ht="45">
      <c r="A67" s="619">
        <f>MAX($A$36:$A66)+1</f>
        <v>13</v>
      </c>
      <c r="B67" s="580" t="s">
        <v>1401</v>
      </c>
      <c r="C67" s="581" t="s">
        <v>650</v>
      </c>
      <c r="D67" s="571">
        <v>30</v>
      </c>
      <c r="E67" s="628"/>
      <c r="F67" s="575">
        <f>+E67*D67</f>
        <v>0</v>
      </c>
    </row>
    <row r="68" spans="1:6" ht="45">
      <c r="A68" s="619">
        <f>MAX($A$36:$A67)+1</f>
        <v>14</v>
      </c>
      <c r="B68" s="580" t="s">
        <v>1402</v>
      </c>
      <c r="C68" s="581" t="s">
        <v>650</v>
      </c>
      <c r="D68" s="571">
        <v>30</v>
      </c>
      <c r="E68" s="628"/>
      <c r="F68" s="575">
        <f>+E68*D68</f>
        <v>0</v>
      </c>
    </row>
    <row r="69" spans="1:6" ht="15">
      <c r="A69" s="619">
        <f>MAX($A$36:$A68)+1</f>
        <v>15</v>
      </c>
      <c r="B69" s="580" t="s">
        <v>1403</v>
      </c>
      <c r="C69" s="581"/>
      <c r="D69" s="571"/>
      <c r="E69" s="855"/>
      <c r="F69" s="575"/>
    </row>
    <row r="70" spans="1:6" ht="15">
      <c r="A70" s="619"/>
      <c r="B70" s="573" t="s">
        <v>1404</v>
      </c>
      <c r="C70" s="583" t="s">
        <v>650</v>
      </c>
      <c r="D70" s="571">
        <v>80</v>
      </c>
      <c r="E70" s="628"/>
      <c r="F70" s="575">
        <f>+E70*D70</f>
        <v>0</v>
      </c>
    </row>
    <row r="71" spans="1:6" ht="15">
      <c r="A71" s="619"/>
      <c r="B71" s="573" t="s">
        <v>1405</v>
      </c>
      <c r="C71" s="583" t="s">
        <v>650</v>
      </c>
      <c r="D71" s="571">
        <v>180</v>
      </c>
      <c r="E71" s="628"/>
      <c r="F71" s="575">
        <f>+E71*D71</f>
        <v>0</v>
      </c>
    </row>
    <row r="72" spans="1:6" ht="15">
      <c r="A72" s="619"/>
      <c r="B72" s="573" t="s">
        <v>1406</v>
      </c>
      <c r="C72" s="583" t="s">
        <v>650</v>
      </c>
      <c r="D72" s="571">
        <v>670</v>
      </c>
      <c r="E72" s="628"/>
      <c r="F72" s="575">
        <f>+E72*D72</f>
        <v>0</v>
      </c>
    </row>
    <row r="73" spans="1:6" ht="30">
      <c r="A73" s="619"/>
      <c r="B73" s="573" t="s">
        <v>1407</v>
      </c>
      <c r="C73" s="583" t="s">
        <v>520</v>
      </c>
      <c r="D73" s="571">
        <v>56</v>
      </c>
      <c r="E73" s="628"/>
      <c r="F73" s="575">
        <f>+E73*D73</f>
        <v>0</v>
      </c>
    </row>
    <row r="74" spans="1:6" ht="15">
      <c r="A74" s="619">
        <f>MAX($A$36:$A73)+1</f>
        <v>16</v>
      </c>
      <c r="B74" s="573" t="s">
        <v>1408</v>
      </c>
      <c r="C74" s="583"/>
      <c r="D74" s="571"/>
      <c r="E74" s="856"/>
      <c r="F74" s="575"/>
    </row>
    <row r="75" spans="1:6" ht="15">
      <c r="A75" s="619"/>
      <c r="B75" s="573" t="s">
        <v>1409</v>
      </c>
      <c r="C75" s="583" t="s">
        <v>650</v>
      </c>
      <c r="D75" s="574">
        <v>10000</v>
      </c>
      <c r="E75" s="628"/>
      <c r="F75" s="575">
        <f>+D75*E75</f>
        <v>0</v>
      </c>
    </row>
    <row r="76" spans="1:6" ht="15">
      <c r="A76" s="619"/>
      <c r="B76" s="573" t="s">
        <v>1410</v>
      </c>
      <c r="C76" s="583" t="s">
        <v>650</v>
      </c>
      <c r="D76" s="574">
        <v>3000</v>
      </c>
      <c r="E76" s="628"/>
      <c r="F76" s="575">
        <f>+D76*E76</f>
        <v>0</v>
      </c>
    </row>
    <row r="77" spans="1:6" ht="15">
      <c r="A77" s="619"/>
      <c r="B77" s="573" t="s">
        <v>1411</v>
      </c>
      <c r="C77" s="583" t="s">
        <v>650</v>
      </c>
      <c r="D77" s="574">
        <v>80</v>
      </c>
      <c r="E77" s="628"/>
      <c r="F77" s="575">
        <f>+D77*E77</f>
        <v>0</v>
      </c>
    </row>
    <row r="78" spans="1:6" ht="30">
      <c r="A78" s="619">
        <f>MAX($A$36:$A77)+1</f>
        <v>17</v>
      </c>
      <c r="B78" s="573" t="s">
        <v>1412</v>
      </c>
      <c r="C78" s="583"/>
      <c r="D78" s="571"/>
      <c r="E78" s="856"/>
      <c r="F78" s="575"/>
    </row>
    <row r="79" spans="1:6" ht="15">
      <c r="A79" s="619"/>
      <c r="B79" s="573" t="s">
        <v>1413</v>
      </c>
      <c r="C79" s="583" t="s">
        <v>650</v>
      </c>
      <c r="D79" s="574">
        <v>30</v>
      </c>
      <c r="E79" s="628"/>
      <c r="F79" s="575">
        <f>+D79*E79</f>
        <v>0</v>
      </c>
    </row>
    <row r="80" spans="1:6" ht="15">
      <c r="A80" s="619"/>
      <c r="B80" s="573" t="s">
        <v>1414</v>
      </c>
      <c r="C80" s="583" t="s">
        <v>650</v>
      </c>
      <c r="D80" s="574">
        <v>20</v>
      </c>
      <c r="E80" s="628"/>
      <c r="F80" s="575">
        <f>+D80*E80</f>
        <v>0</v>
      </c>
    </row>
    <row r="81" spans="1:6" ht="15">
      <c r="A81" s="619">
        <f>MAX($A$36:$A79)+1</f>
        <v>18</v>
      </c>
      <c r="B81" s="584" t="s">
        <v>1415</v>
      </c>
      <c r="C81" s="583" t="s">
        <v>650</v>
      </c>
      <c r="D81" s="571">
        <v>40</v>
      </c>
      <c r="E81" s="628"/>
      <c r="F81" s="575">
        <f>+D81*E81</f>
        <v>0</v>
      </c>
    </row>
    <row r="82" spans="1:6" ht="15">
      <c r="A82" s="619">
        <f>MAX($A$36:$A75)+1</f>
        <v>17</v>
      </c>
      <c r="B82" s="584" t="s">
        <v>1416</v>
      </c>
      <c r="C82" s="583" t="s">
        <v>650</v>
      </c>
      <c r="D82" s="574">
        <v>25</v>
      </c>
      <c r="E82" s="628"/>
      <c r="F82" s="575">
        <f aca="true" t="shared" si="2" ref="F82:F89">+E82*D82</f>
        <v>0</v>
      </c>
    </row>
    <row r="83" spans="1:6" ht="15">
      <c r="A83" s="619">
        <f>MAX($A$36:$A77)+1</f>
        <v>17</v>
      </c>
      <c r="B83" s="584" t="s">
        <v>1417</v>
      </c>
      <c r="C83" s="583" t="s">
        <v>650</v>
      </c>
      <c r="D83" s="574">
        <v>30</v>
      </c>
      <c r="E83" s="628"/>
      <c r="F83" s="575">
        <f t="shared" si="2"/>
        <v>0</v>
      </c>
    </row>
    <row r="84" spans="1:6" ht="15">
      <c r="A84" s="619">
        <f>MAX($A$36:$A83)+1</f>
        <v>19</v>
      </c>
      <c r="B84" s="584" t="s">
        <v>1418</v>
      </c>
      <c r="C84" s="583" t="s">
        <v>650</v>
      </c>
      <c r="D84" s="574">
        <v>40</v>
      </c>
      <c r="E84" s="628"/>
      <c r="F84" s="575">
        <f t="shared" si="2"/>
        <v>0</v>
      </c>
    </row>
    <row r="85" spans="1:6" ht="15">
      <c r="A85" s="619">
        <f>MAX($A$36:$A84)+1</f>
        <v>20</v>
      </c>
      <c r="B85" s="584" t="s">
        <v>1419</v>
      </c>
      <c r="C85" s="583" t="s">
        <v>650</v>
      </c>
      <c r="D85" s="574">
        <v>50</v>
      </c>
      <c r="E85" s="628"/>
      <c r="F85" s="575">
        <f t="shared" si="2"/>
        <v>0</v>
      </c>
    </row>
    <row r="86" spans="1:6" ht="45">
      <c r="A86" s="619">
        <f>MAX($A$36:$A85)+1</f>
        <v>21</v>
      </c>
      <c r="B86" s="584" t="s">
        <v>1420</v>
      </c>
      <c r="C86" s="583" t="s">
        <v>520</v>
      </c>
      <c r="D86" s="574">
        <v>195</v>
      </c>
      <c r="E86" s="628"/>
      <c r="F86" s="575">
        <f t="shared" si="2"/>
        <v>0</v>
      </c>
    </row>
    <row r="87" spans="1:6" ht="45">
      <c r="A87" s="619">
        <f>MAX($A$36:$A77)+1</f>
        <v>17</v>
      </c>
      <c r="B87" s="584" t="s">
        <v>1421</v>
      </c>
      <c r="C87" s="583" t="s">
        <v>520</v>
      </c>
      <c r="D87" s="574">
        <v>8</v>
      </c>
      <c r="E87" s="628"/>
      <c r="F87" s="575">
        <f t="shared" si="2"/>
        <v>0</v>
      </c>
    </row>
    <row r="88" spans="1:6" ht="45">
      <c r="A88" s="619">
        <f>MAX($A$36:$A87)+1</f>
        <v>22</v>
      </c>
      <c r="B88" s="573" t="s">
        <v>1422</v>
      </c>
      <c r="C88" s="583" t="s">
        <v>520</v>
      </c>
      <c r="D88" s="574">
        <v>126</v>
      </c>
      <c r="E88" s="628"/>
      <c r="F88" s="575">
        <f t="shared" si="2"/>
        <v>0</v>
      </c>
    </row>
    <row r="89" spans="1:6" ht="48" customHeight="1">
      <c r="A89" s="619">
        <f>MAX($A$36:$A88)+1</f>
        <v>23</v>
      </c>
      <c r="B89" s="573" t="s">
        <v>1423</v>
      </c>
      <c r="C89" s="583" t="s">
        <v>520</v>
      </c>
      <c r="D89" s="574">
        <v>30</v>
      </c>
      <c r="E89" s="628"/>
      <c r="F89" s="572">
        <f t="shared" si="2"/>
        <v>0</v>
      </c>
    </row>
    <row r="90" spans="1:6" ht="15">
      <c r="A90" s="619">
        <f>MAX($A$36:$A89)+1</f>
        <v>24</v>
      </c>
      <c r="B90" s="573" t="s">
        <v>1424</v>
      </c>
      <c r="C90" s="583" t="s">
        <v>520</v>
      </c>
      <c r="D90" s="574">
        <v>1</v>
      </c>
      <c r="E90" s="628"/>
      <c r="F90" s="572">
        <f>+D90*E90</f>
        <v>0</v>
      </c>
    </row>
    <row r="91" spans="1:6" ht="45">
      <c r="A91" s="619">
        <f>MAX($A$36:$A90)+1</f>
        <v>25</v>
      </c>
      <c r="B91" s="573" t="s">
        <v>1425</v>
      </c>
      <c r="C91" s="583" t="s">
        <v>520</v>
      </c>
      <c r="D91" s="574">
        <v>80</v>
      </c>
      <c r="E91" s="628"/>
      <c r="F91" s="572">
        <f aca="true" t="shared" si="3" ref="F91:F104">+E91*D91</f>
        <v>0</v>
      </c>
    </row>
    <row r="92" spans="1:6" ht="45">
      <c r="A92" s="619">
        <f>MAX($A$36:$A91)+1</f>
        <v>26</v>
      </c>
      <c r="B92" s="573" t="s">
        <v>1426</v>
      </c>
      <c r="C92" s="583" t="s">
        <v>520</v>
      </c>
      <c r="D92" s="574">
        <v>466</v>
      </c>
      <c r="E92" s="628"/>
      <c r="F92" s="572">
        <f t="shared" si="3"/>
        <v>0</v>
      </c>
    </row>
    <row r="93" spans="1:6" ht="45">
      <c r="A93" s="619">
        <f>MAX($A$36:$A92)+1</f>
        <v>27</v>
      </c>
      <c r="B93" s="573" t="s">
        <v>1427</v>
      </c>
      <c r="C93" s="583" t="s">
        <v>520</v>
      </c>
      <c r="D93" s="574">
        <v>32</v>
      </c>
      <c r="E93" s="628"/>
      <c r="F93" s="572">
        <f t="shared" si="3"/>
        <v>0</v>
      </c>
    </row>
    <row r="94" spans="1:6" ht="45">
      <c r="A94" s="619">
        <f>MAX($A$36:$A93)+1</f>
        <v>28</v>
      </c>
      <c r="B94" s="573" t="s">
        <v>1428</v>
      </c>
      <c r="C94" s="583" t="s">
        <v>520</v>
      </c>
      <c r="D94" s="574">
        <v>46</v>
      </c>
      <c r="E94" s="628"/>
      <c r="F94" s="572">
        <f t="shared" si="3"/>
        <v>0</v>
      </c>
    </row>
    <row r="95" spans="1:6" ht="45">
      <c r="A95" s="619">
        <f>MAX($A$36:$A94)+1</f>
        <v>29</v>
      </c>
      <c r="B95" s="573" t="s">
        <v>1429</v>
      </c>
      <c r="C95" s="583" t="s">
        <v>520</v>
      </c>
      <c r="D95" s="574">
        <v>46</v>
      </c>
      <c r="E95" s="628"/>
      <c r="F95" s="572">
        <f t="shared" si="3"/>
        <v>0</v>
      </c>
    </row>
    <row r="96" spans="1:6" ht="45">
      <c r="A96" s="619">
        <f>MAX($A$36:$A95)+1</f>
        <v>30</v>
      </c>
      <c r="B96" s="573" t="s">
        <v>1430</v>
      </c>
      <c r="C96" s="583" t="s">
        <v>520</v>
      </c>
      <c r="D96" s="574">
        <v>34</v>
      </c>
      <c r="E96" s="628"/>
      <c r="F96" s="572">
        <f t="shared" si="3"/>
        <v>0</v>
      </c>
    </row>
    <row r="97" spans="1:6" ht="45">
      <c r="A97" s="619">
        <f>MAX($A$36:$A96)+1</f>
        <v>31</v>
      </c>
      <c r="B97" s="573" t="s">
        <v>1431</v>
      </c>
      <c r="C97" s="583" t="s">
        <v>520</v>
      </c>
      <c r="D97" s="574">
        <v>1</v>
      </c>
      <c r="E97" s="628"/>
      <c r="F97" s="572">
        <f t="shared" si="3"/>
        <v>0</v>
      </c>
    </row>
    <row r="98" spans="1:6" ht="30">
      <c r="A98" s="619">
        <f>MAX($A$36:$A97)+1</f>
        <v>32</v>
      </c>
      <c r="B98" s="573" t="s">
        <v>1432</v>
      </c>
      <c r="C98" s="583" t="s">
        <v>520</v>
      </c>
      <c r="D98" s="574">
        <v>50</v>
      </c>
      <c r="E98" s="628"/>
      <c r="F98" s="572">
        <f t="shared" si="3"/>
        <v>0</v>
      </c>
    </row>
    <row r="99" spans="1:6" ht="34.5" customHeight="1">
      <c r="A99" s="619">
        <f>MAX($A$36:$A96)+1</f>
        <v>31</v>
      </c>
      <c r="B99" s="573" t="s">
        <v>1433</v>
      </c>
      <c r="C99" s="583" t="s">
        <v>748</v>
      </c>
      <c r="D99" s="574">
        <v>1</v>
      </c>
      <c r="E99" s="628"/>
      <c r="F99" s="572">
        <f t="shared" si="3"/>
        <v>0</v>
      </c>
    </row>
    <row r="100" spans="1:6" ht="33" customHeight="1">
      <c r="A100" s="619">
        <f>MAX($A$36:$A98)+1</f>
        <v>33</v>
      </c>
      <c r="B100" s="573" t="s">
        <v>1434</v>
      </c>
      <c r="C100" s="583" t="s">
        <v>748</v>
      </c>
      <c r="D100" s="574">
        <v>1</v>
      </c>
      <c r="E100" s="628"/>
      <c r="F100" s="572">
        <f t="shared" si="3"/>
        <v>0</v>
      </c>
    </row>
    <row r="101" spans="1:6" ht="34.5" customHeight="1">
      <c r="A101" s="619">
        <f>MAX($A$36:$A100)+1</f>
        <v>34</v>
      </c>
      <c r="B101" s="573" t="s">
        <v>1435</v>
      </c>
      <c r="C101" s="583" t="s">
        <v>748</v>
      </c>
      <c r="D101" s="574">
        <v>1</v>
      </c>
      <c r="E101" s="628"/>
      <c r="F101" s="572">
        <f t="shared" si="3"/>
        <v>0</v>
      </c>
    </row>
    <row r="102" spans="1:6" ht="15">
      <c r="A102" s="619">
        <f>MAX($A$36:$A101)+1</f>
        <v>35</v>
      </c>
      <c r="B102" s="584" t="s">
        <v>1436</v>
      </c>
      <c r="C102" s="583" t="s">
        <v>520</v>
      </c>
      <c r="D102" s="574">
        <v>23</v>
      </c>
      <c r="E102" s="628"/>
      <c r="F102" s="572">
        <f t="shared" si="3"/>
        <v>0</v>
      </c>
    </row>
    <row r="103" spans="1:6" ht="15">
      <c r="A103" s="619">
        <f>MAX($A$36:$A102)+1</f>
        <v>36</v>
      </c>
      <c r="B103" s="584" t="s">
        <v>1437</v>
      </c>
      <c r="C103" s="583" t="s">
        <v>520</v>
      </c>
      <c r="D103" s="574">
        <v>23</v>
      </c>
      <c r="E103" s="628"/>
      <c r="F103" s="572">
        <f t="shared" si="3"/>
        <v>0</v>
      </c>
    </row>
    <row r="104" spans="1:6" ht="15">
      <c r="A104" s="619">
        <f>MAX($A$36:$A103)+1</f>
        <v>37</v>
      </c>
      <c r="B104" s="584" t="s">
        <v>1438</v>
      </c>
      <c r="C104" s="583" t="s">
        <v>520</v>
      </c>
      <c r="D104" s="574">
        <v>1</v>
      </c>
      <c r="E104" s="628"/>
      <c r="F104" s="572">
        <f t="shared" si="3"/>
        <v>0</v>
      </c>
    </row>
    <row r="105" spans="1:6" ht="15">
      <c r="A105" s="619">
        <f>MAX($A$36:$A104)+1</f>
        <v>38</v>
      </c>
      <c r="B105" s="584" t="s">
        <v>1439</v>
      </c>
      <c r="C105" s="583" t="s">
        <v>520</v>
      </c>
      <c r="D105" s="574">
        <v>23</v>
      </c>
      <c r="E105" s="628"/>
      <c r="F105" s="575">
        <f>+D105*E105</f>
        <v>0</v>
      </c>
    </row>
    <row r="106" spans="1:6" ht="21.75" customHeight="1">
      <c r="A106" s="619"/>
      <c r="B106" s="584" t="s">
        <v>1440</v>
      </c>
      <c r="C106" s="583"/>
      <c r="D106" s="574"/>
      <c r="E106" s="856"/>
      <c r="F106" s="575"/>
    </row>
    <row r="107" spans="1:6" ht="15">
      <c r="A107" s="619"/>
      <c r="B107" s="584" t="s">
        <v>1441</v>
      </c>
      <c r="C107" s="583" t="s">
        <v>520</v>
      </c>
      <c r="D107" s="574">
        <v>45</v>
      </c>
      <c r="E107" s="628"/>
      <c r="F107" s="575">
        <f>+D107*E107</f>
        <v>0</v>
      </c>
    </row>
    <row r="108" spans="1:6" ht="15">
      <c r="A108" s="619"/>
      <c r="B108" s="584" t="s">
        <v>1442</v>
      </c>
      <c r="C108" s="583" t="s">
        <v>520</v>
      </c>
      <c r="D108" s="574">
        <v>15</v>
      </c>
      <c r="E108" s="628"/>
      <c r="F108" s="575">
        <f>+D108*E108</f>
        <v>0</v>
      </c>
    </row>
    <row r="109" spans="1:6" ht="30">
      <c r="A109" s="619">
        <f>MAX($A$36:$A108)+1</f>
        <v>39</v>
      </c>
      <c r="B109" s="584" t="s">
        <v>1443</v>
      </c>
      <c r="C109" s="583" t="s">
        <v>520</v>
      </c>
      <c r="D109" s="574">
        <v>8</v>
      </c>
      <c r="E109" s="628"/>
      <c r="F109" s="575">
        <f>+D109*E109</f>
        <v>0</v>
      </c>
    </row>
    <row r="110" spans="1:6" ht="30">
      <c r="A110" s="619">
        <f>MAX($A$36:$A109)+1</f>
        <v>40</v>
      </c>
      <c r="B110" s="573" t="s">
        <v>1444</v>
      </c>
      <c r="C110" s="583" t="s">
        <v>748</v>
      </c>
      <c r="D110" s="574">
        <v>1</v>
      </c>
      <c r="E110" s="628"/>
      <c r="F110" s="575">
        <f aca="true" t="shared" si="4" ref="F110:F124">+E110*D110</f>
        <v>0</v>
      </c>
    </row>
    <row r="111" spans="1:6" ht="30">
      <c r="A111" s="619">
        <f>MAX($A$36:$A110)+1</f>
        <v>41</v>
      </c>
      <c r="B111" s="573" t="s">
        <v>1445</v>
      </c>
      <c r="C111" s="583" t="s">
        <v>748</v>
      </c>
      <c r="D111" s="574">
        <v>1</v>
      </c>
      <c r="E111" s="628"/>
      <c r="F111" s="575">
        <f t="shared" si="4"/>
        <v>0</v>
      </c>
    </row>
    <row r="112" spans="1:6" ht="108" customHeight="1">
      <c r="A112" s="619">
        <f>MAX($A$36:$A111)+1</f>
        <v>42</v>
      </c>
      <c r="B112" s="573" t="s">
        <v>1446</v>
      </c>
      <c r="C112" s="583" t="s">
        <v>748</v>
      </c>
      <c r="D112" s="574">
        <v>1</v>
      </c>
      <c r="E112" s="628"/>
      <c r="F112" s="575">
        <f t="shared" si="4"/>
        <v>0</v>
      </c>
    </row>
    <row r="113" spans="1:6" ht="30">
      <c r="A113" s="619">
        <f>MAX($A$36:$A112)+1</f>
        <v>43</v>
      </c>
      <c r="B113" s="573" t="s">
        <v>1447</v>
      </c>
      <c r="C113" s="583" t="s">
        <v>748</v>
      </c>
      <c r="D113" s="574">
        <v>6</v>
      </c>
      <c r="E113" s="628"/>
      <c r="F113" s="575">
        <f t="shared" si="4"/>
        <v>0</v>
      </c>
    </row>
    <row r="114" spans="1:6" ht="30">
      <c r="A114" s="619">
        <f>MAX($A$36:$A113)+1</f>
        <v>44</v>
      </c>
      <c r="B114" s="573" t="s">
        <v>1448</v>
      </c>
      <c r="C114" s="583" t="s">
        <v>748</v>
      </c>
      <c r="D114" s="574">
        <v>6</v>
      </c>
      <c r="E114" s="628"/>
      <c r="F114" s="575">
        <f t="shared" si="4"/>
        <v>0</v>
      </c>
    </row>
    <row r="115" spans="1:6" ht="15">
      <c r="A115" s="619">
        <f>MAX($A$36:$A114)+1</f>
        <v>45</v>
      </c>
      <c r="B115" s="573" t="s">
        <v>1449</v>
      </c>
      <c r="C115" s="583" t="s">
        <v>748</v>
      </c>
      <c r="D115" s="574">
        <v>6</v>
      </c>
      <c r="E115" s="628"/>
      <c r="F115" s="575">
        <f t="shared" si="4"/>
        <v>0</v>
      </c>
    </row>
    <row r="116" spans="1:6" ht="45">
      <c r="A116" s="619">
        <f>MAX($A$36:$A115)+1</f>
        <v>46</v>
      </c>
      <c r="B116" s="573" t="s">
        <v>1450</v>
      </c>
      <c r="C116" s="583" t="s">
        <v>748</v>
      </c>
      <c r="D116" s="574">
        <v>4</v>
      </c>
      <c r="E116" s="628"/>
      <c r="F116" s="575">
        <f t="shared" si="4"/>
        <v>0</v>
      </c>
    </row>
    <row r="117" spans="1:6" ht="45">
      <c r="A117" s="619">
        <f>MAX($A$36:$A116)+1</f>
        <v>47</v>
      </c>
      <c r="B117" s="573" t="s">
        <v>1451</v>
      </c>
      <c r="C117" s="583" t="s">
        <v>748</v>
      </c>
      <c r="D117" s="574">
        <v>1</v>
      </c>
      <c r="E117" s="628"/>
      <c r="F117" s="575">
        <f t="shared" si="4"/>
        <v>0</v>
      </c>
    </row>
    <row r="118" spans="1:6" ht="30">
      <c r="A118" s="619">
        <f>MAX($A$36:$A113)+1</f>
        <v>44</v>
      </c>
      <c r="B118" s="573" t="s">
        <v>1452</v>
      </c>
      <c r="C118" s="583" t="s">
        <v>748</v>
      </c>
      <c r="D118" s="574">
        <v>1</v>
      </c>
      <c r="E118" s="628"/>
      <c r="F118" s="575">
        <f t="shared" si="4"/>
        <v>0</v>
      </c>
    </row>
    <row r="119" spans="1:6" ht="15">
      <c r="A119" s="619">
        <f>MAX($A$36:$A117)+1</f>
        <v>48</v>
      </c>
      <c r="B119" s="573" t="s">
        <v>1453</v>
      </c>
      <c r="C119" s="583" t="s">
        <v>748</v>
      </c>
      <c r="D119" s="574">
        <v>1</v>
      </c>
      <c r="E119" s="628"/>
      <c r="F119" s="575">
        <f t="shared" si="4"/>
        <v>0</v>
      </c>
    </row>
    <row r="120" spans="1:6" ht="15">
      <c r="A120" s="619">
        <f>MAX($A$36:$A118)+1</f>
        <v>48</v>
      </c>
      <c r="B120" s="573" t="s">
        <v>1454</v>
      </c>
      <c r="C120" s="583" t="s">
        <v>748</v>
      </c>
      <c r="D120" s="574">
        <v>1</v>
      </c>
      <c r="E120" s="628"/>
      <c r="F120" s="575">
        <f t="shared" si="4"/>
        <v>0</v>
      </c>
    </row>
    <row r="121" spans="1:6" ht="15">
      <c r="A121" s="619">
        <f>MAX($A$36:$A119)+1</f>
        <v>49</v>
      </c>
      <c r="B121" s="573" t="s">
        <v>1455</v>
      </c>
      <c r="C121" s="583" t="s">
        <v>748</v>
      </c>
      <c r="D121" s="574">
        <v>1</v>
      </c>
      <c r="E121" s="628"/>
      <c r="F121" s="575">
        <f t="shared" si="4"/>
        <v>0</v>
      </c>
    </row>
    <row r="122" spans="1:6" ht="15">
      <c r="A122" s="619">
        <f>MAX($A$36:$A119)+1</f>
        <v>49</v>
      </c>
      <c r="B122" s="573" t="s">
        <v>1456</v>
      </c>
      <c r="C122" s="583" t="s">
        <v>650</v>
      </c>
      <c r="D122" s="574">
        <v>30</v>
      </c>
      <c r="E122" s="628"/>
      <c r="F122" s="575">
        <f t="shared" si="4"/>
        <v>0</v>
      </c>
    </row>
    <row r="123" spans="1:6" ht="15">
      <c r="A123" s="619">
        <f>MAX($A$36:$A119)+1</f>
        <v>49</v>
      </c>
      <c r="B123" s="573" t="s">
        <v>1457</v>
      </c>
      <c r="C123" s="583" t="s">
        <v>1313</v>
      </c>
      <c r="D123" s="574">
        <v>3</v>
      </c>
      <c r="E123" s="628"/>
      <c r="F123" s="575">
        <f t="shared" si="4"/>
        <v>0</v>
      </c>
    </row>
    <row r="124" spans="1:6" ht="15">
      <c r="A124" s="619">
        <f>MAX($A$36:$A123)+1</f>
        <v>50</v>
      </c>
      <c r="B124" s="584" t="s">
        <v>1458</v>
      </c>
      <c r="C124" s="583" t="s">
        <v>748</v>
      </c>
      <c r="D124" s="574">
        <v>24</v>
      </c>
      <c r="E124" s="628"/>
      <c r="F124" s="572">
        <f t="shared" si="4"/>
        <v>0</v>
      </c>
    </row>
    <row r="125" spans="1:6" ht="15">
      <c r="A125" s="619">
        <f>MAX($A$36:$A124)+1</f>
        <v>51</v>
      </c>
      <c r="B125" s="285" t="s">
        <v>1459</v>
      </c>
      <c r="C125" s="585" t="s">
        <v>748</v>
      </c>
      <c r="D125" s="571">
        <v>1</v>
      </c>
      <c r="E125" s="628"/>
      <c r="F125" s="572">
        <f>+D125*E125</f>
        <v>0</v>
      </c>
    </row>
    <row r="126" spans="1:6" ht="60">
      <c r="A126" s="619" t="s">
        <v>1460</v>
      </c>
      <c r="B126" s="285" t="s">
        <v>1461</v>
      </c>
      <c r="C126" s="585" t="s">
        <v>1313</v>
      </c>
      <c r="D126" s="571">
        <v>480</v>
      </c>
      <c r="E126" s="628"/>
      <c r="F126" s="572">
        <f>+D126*E126</f>
        <v>0</v>
      </c>
    </row>
    <row r="127" spans="1:6" ht="45">
      <c r="A127" s="619" t="s">
        <v>1462</v>
      </c>
      <c r="B127" s="285" t="s">
        <v>1463</v>
      </c>
      <c r="C127" s="585" t="s">
        <v>1313</v>
      </c>
      <c r="D127" s="571">
        <v>120</v>
      </c>
      <c r="E127" s="628"/>
      <c r="F127" s="572">
        <f>+D127*E127</f>
        <v>0</v>
      </c>
    </row>
    <row r="128" spans="1:6" ht="15">
      <c r="A128" s="619" t="s">
        <v>1464</v>
      </c>
      <c r="B128" s="285" t="s">
        <v>1465</v>
      </c>
      <c r="C128" s="585" t="s">
        <v>748</v>
      </c>
      <c r="D128" s="571">
        <v>1</v>
      </c>
      <c r="E128" s="628"/>
      <c r="F128" s="572">
        <f>+D128*E128</f>
        <v>0</v>
      </c>
    </row>
    <row r="129" spans="1:6" ht="15">
      <c r="A129" s="619" t="s">
        <v>1466</v>
      </c>
      <c r="B129" s="584" t="s">
        <v>1387</v>
      </c>
      <c r="C129" s="583" t="s">
        <v>1388</v>
      </c>
      <c r="D129" s="574">
        <v>5</v>
      </c>
      <c r="E129" s="856"/>
      <c r="F129" s="572">
        <f>SUM(F57:F128)*D129%</f>
        <v>0</v>
      </c>
    </row>
    <row r="130" spans="1:6" ht="15">
      <c r="A130" s="620"/>
      <c r="B130" s="563"/>
      <c r="C130" s="586"/>
      <c r="D130" s="586"/>
      <c r="E130" s="856"/>
      <c r="F130" s="562"/>
    </row>
    <row r="131" spans="1:6" ht="15">
      <c r="A131" s="617" t="s">
        <v>1127</v>
      </c>
      <c r="B131" s="576" t="s">
        <v>1467</v>
      </c>
      <c r="C131" s="577"/>
      <c r="D131" s="566"/>
      <c r="E131" s="853"/>
      <c r="F131" s="426">
        <f>SUBTOTAL(9,F135:F155)</f>
        <v>0</v>
      </c>
    </row>
    <row r="132" spans="1:6" ht="15">
      <c r="A132" s="621"/>
      <c r="B132" s="568"/>
      <c r="C132" s="578"/>
      <c r="D132" s="567"/>
      <c r="E132" s="853"/>
      <c r="F132" s="567"/>
    </row>
    <row r="133" spans="1:6" ht="15">
      <c r="A133" s="621"/>
      <c r="B133" s="579" t="s">
        <v>1377</v>
      </c>
      <c r="C133" s="578" t="s">
        <v>1378</v>
      </c>
      <c r="D133" s="567" t="s">
        <v>1379</v>
      </c>
      <c r="E133" s="853" t="s">
        <v>1380</v>
      </c>
      <c r="F133" s="567" t="s">
        <v>1337</v>
      </c>
    </row>
    <row r="134" spans="1:6" ht="20.25" customHeight="1">
      <c r="A134" s="619">
        <f>MAX($A$36:$A133)+1</f>
        <v>52</v>
      </c>
      <c r="B134" s="580" t="s">
        <v>1390</v>
      </c>
      <c r="C134" s="581"/>
      <c r="D134" s="571"/>
      <c r="E134" s="854"/>
      <c r="F134" s="572"/>
    </row>
    <row r="135" spans="1:6" ht="15">
      <c r="A135" s="619"/>
      <c r="B135" s="580" t="s">
        <v>1468</v>
      </c>
      <c r="C135" s="581" t="s">
        <v>650</v>
      </c>
      <c r="D135" s="571">
        <v>1450</v>
      </c>
      <c r="E135" s="628"/>
      <c r="F135" s="575">
        <f>+D135*E135</f>
        <v>0</v>
      </c>
    </row>
    <row r="136" spans="1:6" ht="15">
      <c r="A136" s="621"/>
      <c r="B136" s="580" t="s">
        <v>1469</v>
      </c>
      <c r="C136" s="581" t="s">
        <v>650</v>
      </c>
      <c r="D136" s="571">
        <v>200</v>
      </c>
      <c r="E136" s="628"/>
      <c r="F136" s="575">
        <f>+D136*E136</f>
        <v>0</v>
      </c>
    </row>
    <row r="137" spans="1:6" ht="15">
      <c r="A137" s="621"/>
      <c r="B137" s="580" t="s">
        <v>1470</v>
      </c>
      <c r="C137" s="581" t="s">
        <v>650</v>
      </c>
      <c r="D137" s="571">
        <v>100</v>
      </c>
      <c r="E137" s="628"/>
      <c r="F137" s="575">
        <f>+D137*E137</f>
        <v>0</v>
      </c>
    </row>
    <row r="138" spans="1:6" ht="15">
      <c r="A138" s="621"/>
      <c r="B138" s="580" t="s">
        <v>1471</v>
      </c>
      <c r="C138" s="581" t="s">
        <v>650</v>
      </c>
      <c r="D138" s="571">
        <v>1150</v>
      </c>
      <c r="E138" s="628"/>
      <c r="F138" s="575">
        <f>+D138*E138</f>
        <v>0</v>
      </c>
    </row>
    <row r="139" spans="1:6" ht="15">
      <c r="A139" s="619">
        <f>MAX($A$36:$A138)+1</f>
        <v>53</v>
      </c>
      <c r="B139" s="584" t="s">
        <v>1408</v>
      </c>
      <c r="C139" s="583"/>
      <c r="D139" s="571"/>
      <c r="E139" s="856"/>
      <c r="F139" s="575"/>
    </row>
    <row r="140" spans="1:6" ht="15">
      <c r="A140" s="619"/>
      <c r="B140" s="584" t="s">
        <v>1472</v>
      </c>
      <c r="C140" s="583" t="s">
        <v>650</v>
      </c>
      <c r="D140" s="571">
        <v>3200</v>
      </c>
      <c r="E140" s="628"/>
      <c r="F140" s="575">
        <f>+D140*E140</f>
        <v>0</v>
      </c>
    </row>
    <row r="141" spans="1:6" ht="15">
      <c r="A141" s="621"/>
      <c r="B141" s="584" t="s">
        <v>1410</v>
      </c>
      <c r="C141" s="583" t="s">
        <v>650</v>
      </c>
      <c r="D141" s="571">
        <v>100</v>
      </c>
      <c r="E141" s="628"/>
      <c r="F141" s="575">
        <f>+D141*E141</f>
        <v>0</v>
      </c>
    </row>
    <row r="142" spans="1:6" ht="30">
      <c r="A142" s="619">
        <f>MAX($A$36:$A140)+1</f>
        <v>54</v>
      </c>
      <c r="B142" s="573" t="s">
        <v>1412</v>
      </c>
      <c r="C142" s="583"/>
      <c r="D142" s="571"/>
      <c r="E142" s="856"/>
      <c r="F142" s="575"/>
    </row>
    <row r="143" spans="1:6" ht="15">
      <c r="A143" s="619"/>
      <c r="B143" s="573" t="s">
        <v>1413</v>
      </c>
      <c r="C143" s="583" t="s">
        <v>650</v>
      </c>
      <c r="D143" s="574">
        <v>20</v>
      </c>
      <c r="E143" s="628"/>
      <c r="F143" s="575">
        <f>+D143*E143</f>
        <v>0</v>
      </c>
    </row>
    <row r="144" spans="1:6" ht="15">
      <c r="A144" s="619"/>
      <c r="B144" s="573" t="s">
        <v>1414</v>
      </c>
      <c r="C144" s="583" t="s">
        <v>650</v>
      </c>
      <c r="D144" s="574">
        <v>15</v>
      </c>
      <c r="E144" s="628"/>
      <c r="F144" s="575">
        <f>+D144*E144</f>
        <v>0</v>
      </c>
    </row>
    <row r="145" spans="1:6" ht="15">
      <c r="A145" s="619">
        <f>MAX($A$36:$A141)+1</f>
        <v>54</v>
      </c>
      <c r="B145" s="584" t="s">
        <v>1415</v>
      </c>
      <c r="C145" s="583" t="s">
        <v>650</v>
      </c>
      <c r="D145" s="571">
        <v>90</v>
      </c>
      <c r="E145" s="628"/>
      <c r="F145" s="575">
        <f>+D145*E145</f>
        <v>0</v>
      </c>
    </row>
    <row r="146" spans="1:6" ht="15">
      <c r="A146" s="619">
        <f>MAX($A$36:$A145)+1</f>
        <v>55</v>
      </c>
      <c r="B146" s="584" t="s">
        <v>1473</v>
      </c>
      <c r="C146" s="583" t="s">
        <v>748</v>
      </c>
      <c r="D146" s="571">
        <v>1</v>
      </c>
      <c r="E146" s="628"/>
      <c r="F146" s="582">
        <f aca="true" t="shared" si="5" ref="F146:F154">E146*D146</f>
        <v>0</v>
      </c>
    </row>
    <row r="147" spans="1:6" ht="30">
      <c r="A147" s="619">
        <f>MAX($A$36:$A146)+1</f>
        <v>56</v>
      </c>
      <c r="B147" s="584" t="s">
        <v>1474</v>
      </c>
      <c r="C147" s="583" t="s">
        <v>520</v>
      </c>
      <c r="D147" s="571">
        <v>23</v>
      </c>
      <c r="E147" s="628"/>
      <c r="F147" s="582">
        <f t="shared" si="5"/>
        <v>0</v>
      </c>
    </row>
    <row r="148" spans="1:6" ht="15">
      <c r="A148" s="622">
        <f>MAX($A$36:$A147)+1</f>
        <v>57</v>
      </c>
      <c r="B148" s="584" t="s">
        <v>1475</v>
      </c>
      <c r="C148" s="583" t="s">
        <v>748</v>
      </c>
      <c r="D148" s="571">
        <v>34</v>
      </c>
      <c r="E148" s="628"/>
      <c r="F148" s="582">
        <f t="shared" si="5"/>
        <v>0</v>
      </c>
    </row>
    <row r="149" spans="1:6" ht="15">
      <c r="A149" s="622">
        <f>MAX($A$36:$A148)+1</f>
        <v>58</v>
      </c>
      <c r="B149" s="584" t="s">
        <v>1476</v>
      </c>
      <c r="C149" s="583" t="s">
        <v>748</v>
      </c>
      <c r="D149" s="571">
        <v>1</v>
      </c>
      <c r="E149" s="628"/>
      <c r="F149" s="582">
        <f t="shared" si="5"/>
        <v>0</v>
      </c>
    </row>
    <row r="150" spans="1:6" ht="15">
      <c r="A150" s="622">
        <f>MAX($A$36:$A149)+1</f>
        <v>59</v>
      </c>
      <c r="B150" s="584" t="s">
        <v>1477</v>
      </c>
      <c r="C150" s="583" t="s">
        <v>748</v>
      </c>
      <c r="D150" s="571">
        <v>2</v>
      </c>
      <c r="E150" s="628"/>
      <c r="F150" s="582">
        <f t="shared" si="5"/>
        <v>0</v>
      </c>
    </row>
    <row r="151" spans="1:6" ht="17.25" customHeight="1">
      <c r="A151" s="622">
        <f>MAX($A$36:$A149)+1</f>
        <v>59</v>
      </c>
      <c r="B151" s="584" t="s">
        <v>1478</v>
      </c>
      <c r="C151" s="583" t="s">
        <v>520</v>
      </c>
      <c r="D151" s="571">
        <v>1</v>
      </c>
      <c r="E151" s="628"/>
      <c r="F151" s="582">
        <f t="shared" si="5"/>
        <v>0</v>
      </c>
    </row>
    <row r="152" spans="1:6" ht="30">
      <c r="A152" s="622">
        <f>MAX($A$36:$A151)+1</f>
        <v>60</v>
      </c>
      <c r="B152" s="584" t="s">
        <v>1479</v>
      </c>
      <c r="C152" s="583" t="s">
        <v>520</v>
      </c>
      <c r="D152" s="571">
        <v>8</v>
      </c>
      <c r="E152" s="628"/>
      <c r="F152" s="582">
        <f t="shared" si="5"/>
        <v>0</v>
      </c>
    </row>
    <row r="153" spans="1:6" ht="18" customHeight="1">
      <c r="A153" s="622">
        <f>MAX($A$36:$A152)+1</f>
        <v>61</v>
      </c>
      <c r="B153" s="584" t="s">
        <v>1480</v>
      </c>
      <c r="C153" s="583" t="s">
        <v>520</v>
      </c>
      <c r="D153" s="571">
        <v>1</v>
      </c>
      <c r="E153" s="628"/>
      <c r="F153" s="582">
        <f t="shared" si="5"/>
        <v>0</v>
      </c>
    </row>
    <row r="154" spans="1:6" ht="30">
      <c r="A154" s="622">
        <f>MAX($A$36:$A153)+1</f>
        <v>62</v>
      </c>
      <c r="B154" s="584" t="s">
        <v>1481</v>
      </c>
      <c r="C154" s="583" t="s">
        <v>1313</v>
      </c>
      <c r="D154" s="571">
        <v>30</v>
      </c>
      <c r="E154" s="628"/>
      <c r="F154" s="582">
        <f t="shared" si="5"/>
        <v>0</v>
      </c>
    </row>
    <row r="155" spans="1:6" ht="15">
      <c r="A155" s="622">
        <f>MAX($A$36:$A154)+1</f>
        <v>63</v>
      </c>
      <c r="B155" s="587" t="s">
        <v>1387</v>
      </c>
      <c r="C155" s="583" t="s">
        <v>1388</v>
      </c>
      <c r="D155" s="571">
        <v>5</v>
      </c>
      <c r="E155" s="856"/>
      <c r="F155" s="582">
        <f>SUM(F135:F154)*D155%</f>
        <v>0</v>
      </c>
    </row>
    <row r="156" spans="1:6" ht="15">
      <c r="A156" s="620"/>
      <c r="B156" s="563"/>
      <c r="C156" s="586"/>
      <c r="D156" s="586"/>
      <c r="E156" s="856"/>
      <c r="F156" s="562"/>
    </row>
    <row r="157" spans="1:6" ht="15">
      <c r="A157" s="617" t="s">
        <v>1339</v>
      </c>
      <c r="B157" s="564" t="s">
        <v>1482</v>
      </c>
      <c r="C157" s="577"/>
      <c r="D157" s="566"/>
      <c r="E157" s="853"/>
      <c r="F157" s="426">
        <f>+F177+F192+F207+F209</f>
        <v>0</v>
      </c>
    </row>
    <row r="158" spans="1:6" ht="15">
      <c r="A158" s="623"/>
      <c r="B158" s="564" t="s">
        <v>1376</v>
      </c>
      <c r="C158" s="577"/>
      <c r="D158" s="566"/>
      <c r="E158" s="853"/>
      <c r="F158" s="565"/>
    </row>
    <row r="159" spans="1:6" ht="15">
      <c r="A159" s="623"/>
      <c r="B159" s="568"/>
      <c r="C159" s="578"/>
      <c r="D159" s="567"/>
      <c r="E159" s="853"/>
      <c r="F159" s="567"/>
    </row>
    <row r="160" spans="1:6" ht="15">
      <c r="A160" s="623"/>
      <c r="B160" s="579" t="s">
        <v>1377</v>
      </c>
      <c r="C160" s="578" t="s">
        <v>1378</v>
      </c>
      <c r="D160" s="567" t="s">
        <v>1379</v>
      </c>
      <c r="E160" s="853" t="s">
        <v>1380</v>
      </c>
      <c r="F160" s="567" t="s">
        <v>1337</v>
      </c>
    </row>
    <row r="161" spans="1:6" ht="15">
      <c r="A161" s="623">
        <f>MAX($A$15:$A160)+1</f>
        <v>64</v>
      </c>
      <c r="B161" s="588" t="s">
        <v>1483</v>
      </c>
      <c r="C161" s="583"/>
      <c r="D161" s="574"/>
      <c r="E161" s="856"/>
      <c r="F161" s="572"/>
    </row>
    <row r="162" spans="1:6" ht="45">
      <c r="A162" s="623" t="s">
        <v>1381</v>
      </c>
      <c r="B162" s="573" t="s">
        <v>1484</v>
      </c>
      <c r="C162" s="583" t="s">
        <v>748</v>
      </c>
      <c r="D162" s="574">
        <v>1</v>
      </c>
      <c r="E162" s="628"/>
      <c r="F162" s="572">
        <f>+E162*D162</f>
        <v>0</v>
      </c>
    </row>
    <row r="163" spans="1:6" ht="15">
      <c r="A163" s="623" t="s">
        <v>1381</v>
      </c>
      <c r="B163" s="573" t="s">
        <v>1485</v>
      </c>
      <c r="C163" s="583" t="s">
        <v>520</v>
      </c>
      <c r="D163" s="574">
        <v>1</v>
      </c>
      <c r="E163" s="628"/>
      <c r="F163" s="572">
        <f aca="true" t="shared" si="6" ref="F163:F176">+E163*D163</f>
        <v>0</v>
      </c>
    </row>
    <row r="164" spans="1:6" ht="15">
      <c r="A164" s="623" t="s">
        <v>1381</v>
      </c>
      <c r="B164" s="573" t="s">
        <v>1486</v>
      </c>
      <c r="C164" s="583" t="s">
        <v>520</v>
      </c>
      <c r="D164" s="574">
        <v>1</v>
      </c>
      <c r="E164" s="628"/>
      <c r="F164" s="572">
        <f>+E164*D164</f>
        <v>0</v>
      </c>
    </row>
    <row r="165" spans="1:6" ht="15">
      <c r="A165" s="623" t="s">
        <v>1381</v>
      </c>
      <c r="B165" s="573" t="s">
        <v>1487</v>
      </c>
      <c r="C165" s="583" t="s">
        <v>520</v>
      </c>
      <c r="D165" s="574">
        <v>14</v>
      </c>
      <c r="E165" s="628"/>
      <c r="F165" s="572">
        <f t="shared" si="6"/>
        <v>0</v>
      </c>
    </row>
    <row r="166" spans="1:6" ht="15">
      <c r="A166" s="623" t="s">
        <v>1381</v>
      </c>
      <c r="B166" s="573" t="s">
        <v>1488</v>
      </c>
      <c r="C166" s="583" t="s">
        <v>520</v>
      </c>
      <c r="D166" s="574">
        <v>12</v>
      </c>
      <c r="E166" s="628"/>
      <c r="F166" s="572">
        <f t="shared" si="6"/>
        <v>0</v>
      </c>
    </row>
    <row r="167" spans="1:6" ht="15">
      <c r="A167" s="623" t="s">
        <v>1381</v>
      </c>
      <c r="B167" s="573" t="s">
        <v>1489</v>
      </c>
      <c r="C167" s="583" t="s">
        <v>520</v>
      </c>
      <c r="D167" s="574">
        <v>2</v>
      </c>
      <c r="E167" s="628"/>
      <c r="F167" s="572">
        <f t="shared" si="6"/>
        <v>0</v>
      </c>
    </row>
    <row r="168" spans="1:6" ht="15">
      <c r="A168" s="623" t="s">
        <v>1381</v>
      </c>
      <c r="B168" s="573" t="s">
        <v>1490</v>
      </c>
      <c r="C168" s="583" t="s">
        <v>520</v>
      </c>
      <c r="D168" s="574">
        <v>3</v>
      </c>
      <c r="E168" s="628"/>
      <c r="F168" s="572">
        <f t="shared" si="6"/>
        <v>0</v>
      </c>
    </row>
    <row r="169" spans="1:6" ht="15">
      <c r="A169" s="623" t="s">
        <v>1381</v>
      </c>
      <c r="B169" s="570" t="s">
        <v>1491</v>
      </c>
      <c r="C169" s="581" t="s">
        <v>520</v>
      </c>
      <c r="D169" s="571">
        <v>2</v>
      </c>
      <c r="E169" s="628"/>
      <c r="F169" s="572">
        <f t="shared" si="6"/>
        <v>0</v>
      </c>
    </row>
    <row r="170" spans="1:6" ht="15">
      <c r="A170" s="623" t="s">
        <v>1381</v>
      </c>
      <c r="B170" s="570" t="s">
        <v>1492</v>
      </c>
      <c r="C170" s="581" t="s">
        <v>520</v>
      </c>
      <c r="D170" s="571">
        <v>1</v>
      </c>
      <c r="E170" s="628"/>
      <c r="F170" s="572">
        <f t="shared" si="6"/>
        <v>0</v>
      </c>
    </row>
    <row r="171" spans="1:6" ht="15">
      <c r="A171" s="623" t="s">
        <v>1381</v>
      </c>
      <c r="B171" s="573" t="s">
        <v>1493</v>
      </c>
      <c r="C171" s="583" t="s">
        <v>520</v>
      </c>
      <c r="D171" s="574">
        <v>2</v>
      </c>
      <c r="E171" s="628"/>
      <c r="F171" s="572">
        <f t="shared" si="6"/>
        <v>0</v>
      </c>
    </row>
    <row r="172" spans="1:6" ht="15">
      <c r="A172" s="623" t="s">
        <v>1381</v>
      </c>
      <c r="B172" s="570" t="s">
        <v>1494</v>
      </c>
      <c r="C172" s="581" t="s">
        <v>748</v>
      </c>
      <c r="D172" s="571">
        <v>1</v>
      </c>
      <c r="E172" s="628"/>
      <c r="F172" s="572">
        <f t="shared" si="6"/>
        <v>0</v>
      </c>
    </row>
    <row r="173" spans="1:6" ht="15">
      <c r="A173" s="623" t="s">
        <v>1381</v>
      </c>
      <c r="B173" s="570" t="s">
        <v>1495</v>
      </c>
      <c r="C173" s="581" t="s">
        <v>748</v>
      </c>
      <c r="D173" s="571">
        <v>1</v>
      </c>
      <c r="E173" s="628"/>
      <c r="F173" s="572">
        <f t="shared" si="6"/>
        <v>0</v>
      </c>
    </row>
    <row r="174" spans="1:6" ht="15">
      <c r="A174" s="623" t="s">
        <v>1381</v>
      </c>
      <c r="B174" s="570" t="s">
        <v>1496</v>
      </c>
      <c r="C174" s="581" t="s">
        <v>1313</v>
      </c>
      <c r="D174" s="571">
        <v>6</v>
      </c>
      <c r="E174" s="628"/>
      <c r="F174" s="572">
        <f t="shared" si="6"/>
        <v>0</v>
      </c>
    </row>
    <row r="175" spans="1:6" ht="15">
      <c r="A175" s="623" t="s">
        <v>1381</v>
      </c>
      <c r="B175" s="570" t="s">
        <v>1497</v>
      </c>
      <c r="C175" s="581" t="s">
        <v>1313</v>
      </c>
      <c r="D175" s="571">
        <v>4</v>
      </c>
      <c r="E175" s="628"/>
      <c r="F175" s="572">
        <f t="shared" si="6"/>
        <v>0</v>
      </c>
    </row>
    <row r="176" spans="1:6" ht="15">
      <c r="A176" s="623" t="s">
        <v>1381</v>
      </c>
      <c r="B176" s="570" t="s">
        <v>1498</v>
      </c>
      <c r="C176" s="581" t="s">
        <v>520</v>
      </c>
      <c r="D176" s="571">
        <v>1</v>
      </c>
      <c r="E176" s="628"/>
      <c r="F176" s="572">
        <f t="shared" si="6"/>
        <v>0</v>
      </c>
    </row>
    <row r="177" spans="1:6" ht="15">
      <c r="A177" s="623"/>
      <c r="B177" s="570"/>
      <c r="C177" s="581"/>
      <c r="D177" s="571"/>
      <c r="E177" s="857" t="s">
        <v>1343</v>
      </c>
      <c r="F177" s="590">
        <f>SUBTOTAL(9,F162:F176)</f>
        <v>0</v>
      </c>
    </row>
    <row r="178" spans="1:6" ht="15">
      <c r="A178" s="623">
        <f>MAX($A$15:$A177)+1</f>
        <v>65</v>
      </c>
      <c r="B178" s="588" t="s">
        <v>1499</v>
      </c>
      <c r="C178" s="583"/>
      <c r="D178" s="574"/>
      <c r="E178" s="856"/>
      <c r="F178" s="572"/>
    </row>
    <row r="179" spans="1:6" ht="30">
      <c r="A179" s="623" t="s">
        <v>1381</v>
      </c>
      <c r="B179" s="573" t="s">
        <v>1500</v>
      </c>
      <c r="C179" s="583" t="s">
        <v>748</v>
      </c>
      <c r="D179" s="574">
        <v>1</v>
      </c>
      <c r="E179" s="628"/>
      <c r="F179" s="572">
        <f aca="true" t="shared" si="7" ref="F179:F190">+E179*D179</f>
        <v>0</v>
      </c>
    </row>
    <row r="180" spans="1:6" ht="15">
      <c r="A180" s="623" t="s">
        <v>1381</v>
      </c>
      <c r="B180" s="573" t="s">
        <v>1501</v>
      </c>
      <c r="C180" s="583" t="s">
        <v>520</v>
      </c>
      <c r="D180" s="574">
        <v>1</v>
      </c>
      <c r="E180" s="628"/>
      <c r="F180" s="572">
        <f>+E180*D180</f>
        <v>0</v>
      </c>
    </row>
    <row r="181" spans="1:6" ht="15">
      <c r="A181" s="623" t="s">
        <v>1381</v>
      </c>
      <c r="B181" s="573" t="s">
        <v>1502</v>
      </c>
      <c r="C181" s="583" t="s">
        <v>520</v>
      </c>
      <c r="D181" s="574">
        <v>1</v>
      </c>
      <c r="E181" s="628"/>
      <c r="F181" s="572">
        <f>+E181*D181</f>
        <v>0</v>
      </c>
    </row>
    <row r="182" spans="1:6" ht="15">
      <c r="A182" s="623" t="s">
        <v>1381</v>
      </c>
      <c r="B182" s="573" t="s">
        <v>1503</v>
      </c>
      <c r="C182" s="583" t="s">
        <v>520</v>
      </c>
      <c r="D182" s="574">
        <v>1</v>
      </c>
      <c r="E182" s="628"/>
      <c r="F182" s="572">
        <f t="shared" si="7"/>
        <v>0</v>
      </c>
    </row>
    <row r="183" spans="1:6" ht="15">
      <c r="A183" s="623" t="s">
        <v>1381</v>
      </c>
      <c r="B183" s="573" t="s">
        <v>1487</v>
      </c>
      <c r="C183" s="583" t="s">
        <v>520</v>
      </c>
      <c r="D183" s="574">
        <v>4</v>
      </c>
      <c r="E183" s="628"/>
      <c r="F183" s="572">
        <f t="shared" si="7"/>
        <v>0</v>
      </c>
    </row>
    <row r="184" spans="1:6" ht="15">
      <c r="A184" s="623" t="s">
        <v>1381</v>
      </c>
      <c r="B184" s="573" t="s">
        <v>1488</v>
      </c>
      <c r="C184" s="583" t="s">
        <v>520</v>
      </c>
      <c r="D184" s="574">
        <v>11</v>
      </c>
      <c r="E184" s="628"/>
      <c r="F184" s="572">
        <f t="shared" si="7"/>
        <v>0</v>
      </c>
    </row>
    <row r="185" spans="1:6" ht="15">
      <c r="A185" s="623" t="s">
        <v>1381</v>
      </c>
      <c r="B185" s="573" t="s">
        <v>1504</v>
      </c>
      <c r="C185" s="583" t="s">
        <v>520</v>
      </c>
      <c r="D185" s="574">
        <v>2</v>
      </c>
      <c r="E185" s="628"/>
      <c r="F185" s="572">
        <f t="shared" si="7"/>
        <v>0</v>
      </c>
    </row>
    <row r="186" spans="1:6" ht="15">
      <c r="A186" s="623" t="s">
        <v>1381</v>
      </c>
      <c r="B186" s="573" t="s">
        <v>1505</v>
      </c>
      <c r="C186" s="583" t="s">
        <v>520</v>
      </c>
      <c r="D186" s="574">
        <v>1</v>
      </c>
      <c r="E186" s="628"/>
      <c r="F186" s="572">
        <f t="shared" si="7"/>
        <v>0</v>
      </c>
    </row>
    <row r="187" spans="1:6" ht="15">
      <c r="A187" s="623" t="s">
        <v>1381</v>
      </c>
      <c r="B187" s="570" t="s">
        <v>1495</v>
      </c>
      <c r="C187" s="581" t="s">
        <v>748</v>
      </c>
      <c r="D187" s="571">
        <v>1</v>
      </c>
      <c r="E187" s="628"/>
      <c r="F187" s="572">
        <f t="shared" si="7"/>
        <v>0</v>
      </c>
    </row>
    <row r="188" spans="1:6" ht="15">
      <c r="A188" s="623" t="s">
        <v>1381</v>
      </c>
      <c r="B188" s="570" t="s">
        <v>1496</v>
      </c>
      <c r="C188" s="581" t="s">
        <v>1313</v>
      </c>
      <c r="D188" s="571">
        <v>4</v>
      </c>
      <c r="E188" s="628"/>
      <c r="F188" s="572">
        <f t="shared" si="7"/>
        <v>0</v>
      </c>
    </row>
    <row r="189" spans="1:6" ht="15">
      <c r="A189" s="623" t="s">
        <v>1381</v>
      </c>
      <c r="B189" s="570" t="s">
        <v>1497</v>
      </c>
      <c r="C189" s="581" t="s">
        <v>1313</v>
      </c>
      <c r="D189" s="571">
        <v>2</v>
      </c>
      <c r="E189" s="628"/>
      <c r="F189" s="572">
        <f t="shared" si="7"/>
        <v>0</v>
      </c>
    </row>
    <row r="190" spans="1:6" ht="15">
      <c r="A190" s="623" t="s">
        <v>1381</v>
      </c>
      <c r="B190" s="570" t="s">
        <v>1498</v>
      </c>
      <c r="C190" s="581" t="s">
        <v>520</v>
      </c>
      <c r="D190" s="571">
        <v>1</v>
      </c>
      <c r="E190" s="628"/>
      <c r="F190" s="572">
        <f t="shared" si="7"/>
        <v>0</v>
      </c>
    </row>
    <row r="191" spans="1:6" ht="15">
      <c r="A191" s="623"/>
      <c r="B191" s="570"/>
      <c r="C191" s="583" t="s">
        <v>748</v>
      </c>
      <c r="D191" s="574">
        <v>4</v>
      </c>
      <c r="E191" s="856"/>
      <c r="F191" s="572">
        <f>SUBTOTAL(9,F179:F190)</f>
        <v>0</v>
      </c>
    </row>
    <row r="192" spans="1:6" ht="15">
      <c r="A192" s="623"/>
      <c r="B192" s="591"/>
      <c r="C192" s="589"/>
      <c r="D192" s="589"/>
      <c r="E192" s="857" t="s">
        <v>1506</v>
      </c>
      <c r="F192" s="590">
        <f>+D191*F191</f>
        <v>0</v>
      </c>
    </row>
    <row r="193" spans="1:6" ht="15">
      <c r="A193" s="623">
        <f>MAX($A$15:$A191)+1</f>
        <v>66</v>
      </c>
      <c r="B193" s="588" t="s">
        <v>1507</v>
      </c>
      <c r="C193" s="583"/>
      <c r="D193" s="574"/>
      <c r="E193" s="856"/>
      <c r="F193" s="572"/>
    </row>
    <row r="194" spans="1:6" ht="30">
      <c r="A194" s="623" t="s">
        <v>1381</v>
      </c>
      <c r="B194" s="573" t="s">
        <v>1500</v>
      </c>
      <c r="C194" s="583" t="s">
        <v>748</v>
      </c>
      <c r="D194" s="574">
        <v>1</v>
      </c>
      <c r="E194" s="628"/>
      <c r="F194" s="572">
        <f>+E194*D194</f>
        <v>0</v>
      </c>
    </row>
    <row r="195" spans="1:6" ht="15">
      <c r="A195" s="623" t="s">
        <v>1381</v>
      </c>
      <c r="B195" s="573" t="s">
        <v>1501</v>
      </c>
      <c r="C195" s="583" t="s">
        <v>520</v>
      </c>
      <c r="D195" s="574">
        <v>1</v>
      </c>
      <c r="E195" s="628"/>
      <c r="F195" s="572">
        <f>+E195*D195</f>
        <v>0</v>
      </c>
    </row>
    <row r="196" spans="1:6" ht="15">
      <c r="A196" s="623" t="s">
        <v>1381</v>
      </c>
      <c r="B196" s="573" t="s">
        <v>1502</v>
      </c>
      <c r="C196" s="583" t="s">
        <v>520</v>
      </c>
      <c r="D196" s="574">
        <v>1</v>
      </c>
      <c r="E196" s="628"/>
      <c r="F196" s="572">
        <f>+E196*D196</f>
        <v>0</v>
      </c>
    </row>
    <row r="197" spans="1:6" ht="15">
      <c r="A197" s="623" t="s">
        <v>1381</v>
      </c>
      <c r="B197" s="573" t="s">
        <v>1503</v>
      </c>
      <c r="C197" s="583" t="s">
        <v>520</v>
      </c>
      <c r="D197" s="574">
        <v>1</v>
      </c>
      <c r="E197" s="628"/>
      <c r="F197" s="572">
        <f aca="true" t="shared" si="8" ref="F197:F205">+E197*D197</f>
        <v>0</v>
      </c>
    </row>
    <row r="198" spans="1:6" ht="15">
      <c r="A198" s="623" t="s">
        <v>1381</v>
      </c>
      <c r="B198" s="573" t="s">
        <v>1487</v>
      </c>
      <c r="C198" s="583" t="s">
        <v>520</v>
      </c>
      <c r="D198" s="574">
        <v>4</v>
      </c>
      <c r="E198" s="628"/>
      <c r="F198" s="572">
        <f t="shared" si="8"/>
        <v>0</v>
      </c>
    </row>
    <row r="199" spans="1:6" ht="15">
      <c r="A199" s="623" t="s">
        <v>1381</v>
      </c>
      <c r="B199" s="573" t="s">
        <v>1488</v>
      </c>
      <c r="C199" s="583" t="s">
        <v>520</v>
      </c>
      <c r="D199" s="574">
        <v>12</v>
      </c>
      <c r="E199" s="628"/>
      <c r="F199" s="572">
        <f t="shared" si="8"/>
        <v>0</v>
      </c>
    </row>
    <row r="200" spans="1:6" ht="15">
      <c r="A200" s="623" t="s">
        <v>1381</v>
      </c>
      <c r="B200" s="573" t="s">
        <v>1504</v>
      </c>
      <c r="C200" s="583" t="s">
        <v>520</v>
      </c>
      <c r="D200" s="574">
        <v>2</v>
      </c>
      <c r="E200" s="628"/>
      <c r="F200" s="572">
        <f t="shared" si="8"/>
        <v>0</v>
      </c>
    </row>
    <row r="201" spans="1:6" ht="15">
      <c r="A201" s="623" t="s">
        <v>1381</v>
      </c>
      <c r="B201" s="573" t="s">
        <v>1505</v>
      </c>
      <c r="C201" s="583" t="s">
        <v>520</v>
      </c>
      <c r="D201" s="574">
        <v>1</v>
      </c>
      <c r="E201" s="628"/>
      <c r="F201" s="572">
        <f t="shared" si="8"/>
        <v>0</v>
      </c>
    </row>
    <row r="202" spans="1:6" ht="15">
      <c r="A202" s="623" t="s">
        <v>1381</v>
      </c>
      <c r="B202" s="570" t="s">
        <v>1495</v>
      </c>
      <c r="C202" s="581" t="s">
        <v>748</v>
      </c>
      <c r="D202" s="571">
        <v>1</v>
      </c>
      <c r="E202" s="628"/>
      <c r="F202" s="572">
        <f t="shared" si="8"/>
        <v>0</v>
      </c>
    </row>
    <row r="203" spans="1:6" ht="15">
      <c r="A203" s="623" t="s">
        <v>1381</v>
      </c>
      <c r="B203" s="570" t="s">
        <v>1496</v>
      </c>
      <c r="C203" s="581" t="s">
        <v>1313</v>
      </c>
      <c r="D203" s="571">
        <v>4</v>
      </c>
      <c r="E203" s="628"/>
      <c r="F203" s="572">
        <f t="shared" si="8"/>
        <v>0</v>
      </c>
    </row>
    <row r="204" spans="1:6" ht="15">
      <c r="A204" s="623" t="s">
        <v>1381</v>
      </c>
      <c r="B204" s="570" t="s">
        <v>1497</v>
      </c>
      <c r="C204" s="581" t="s">
        <v>1313</v>
      </c>
      <c r="D204" s="571">
        <v>2</v>
      </c>
      <c r="E204" s="628"/>
      <c r="F204" s="572">
        <f t="shared" si="8"/>
        <v>0</v>
      </c>
    </row>
    <row r="205" spans="1:6" ht="15">
      <c r="A205" s="623" t="s">
        <v>1381</v>
      </c>
      <c r="B205" s="570" t="s">
        <v>1498</v>
      </c>
      <c r="C205" s="581" t="s">
        <v>520</v>
      </c>
      <c r="D205" s="571">
        <v>1</v>
      </c>
      <c r="E205" s="628"/>
      <c r="F205" s="572">
        <f t="shared" si="8"/>
        <v>0</v>
      </c>
    </row>
    <row r="206" spans="1:6" ht="15">
      <c r="A206" s="623"/>
      <c r="B206" s="570"/>
      <c r="C206" s="583" t="s">
        <v>748</v>
      </c>
      <c r="D206" s="574">
        <v>19</v>
      </c>
      <c r="E206" s="856"/>
      <c r="F206" s="572">
        <f>SUBTOTAL(9,F194:F205)</f>
        <v>0</v>
      </c>
    </row>
    <row r="207" spans="1:6" ht="15">
      <c r="A207" s="623"/>
      <c r="B207" s="591"/>
      <c r="C207" s="589"/>
      <c r="D207" s="589"/>
      <c r="E207" s="857" t="s">
        <v>1506</v>
      </c>
      <c r="F207" s="590">
        <f>+D206*F206</f>
        <v>0</v>
      </c>
    </row>
    <row r="208" spans="1:6" ht="15">
      <c r="A208" s="623">
        <f>MAX($A$15:$A207)+1</f>
        <v>67</v>
      </c>
      <c r="B208" s="592" t="s">
        <v>1508</v>
      </c>
      <c r="C208" s="583"/>
      <c r="D208" s="574"/>
      <c r="E208" s="856"/>
      <c r="F208" s="562"/>
    </row>
    <row r="209" spans="1:6" ht="90">
      <c r="A209" s="623"/>
      <c r="B209" s="593" t="s">
        <v>1509</v>
      </c>
      <c r="C209" s="594" t="s">
        <v>748</v>
      </c>
      <c r="D209" s="586">
        <v>23</v>
      </c>
      <c r="E209" s="628"/>
      <c r="F209" s="572">
        <f>+E209*D209</f>
        <v>0</v>
      </c>
    </row>
    <row r="210" spans="1:6" ht="15">
      <c r="A210" s="617" t="s">
        <v>1340</v>
      </c>
      <c r="B210" s="595" t="s">
        <v>1510</v>
      </c>
      <c r="C210" s="577"/>
      <c r="D210" s="566"/>
      <c r="E210" s="853"/>
      <c r="F210" s="426">
        <f>SUBTOTAL(9,F215:F243)</f>
        <v>0</v>
      </c>
    </row>
    <row r="211" spans="1:6" ht="15">
      <c r="A211" s="617"/>
      <c r="B211" s="564" t="s">
        <v>1376</v>
      </c>
      <c r="C211" s="577"/>
      <c r="D211" s="566"/>
      <c r="E211" s="853"/>
      <c r="F211" s="565"/>
    </row>
    <row r="212" spans="1:6" ht="15">
      <c r="A212" s="621"/>
      <c r="B212" s="579" t="s">
        <v>1377</v>
      </c>
      <c r="C212" s="578" t="s">
        <v>1378</v>
      </c>
      <c r="D212" s="567" t="s">
        <v>1379</v>
      </c>
      <c r="E212" s="853" t="s">
        <v>1380</v>
      </c>
      <c r="F212" s="567" t="s">
        <v>1337</v>
      </c>
    </row>
    <row r="213" spans="1:6" ht="90">
      <c r="A213" s="624"/>
      <c r="B213" s="596" t="s">
        <v>1511</v>
      </c>
      <c r="C213" s="585"/>
      <c r="D213" s="571"/>
      <c r="E213" s="852"/>
      <c r="F213" s="562"/>
    </row>
    <row r="214" spans="1:6" ht="15">
      <c r="A214" s="625"/>
      <c r="B214" s="596" t="s">
        <v>1512</v>
      </c>
      <c r="C214" s="583"/>
      <c r="D214" s="574"/>
      <c r="E214" s="856"/>
      <c r="F214" s="562"/>
    </row>
    <row r="215" spans="1:6" ht="48" customHeight="1">
      <c r="A215" s="619">
        <f>MAX($A$15:$A214)+1</f>
        <v>68</v>
      </c>
      <c r="B215" s="573" t="s">
        <v>1513</v>
      </c>
      <c r="C215" s="583" t="s">
        <v>520</v>
      </c>
      <c r="D215" s="574">
        <v>1</v>
      </c>
      <c r="E215" s="628"/>
      <c r="F215" s="572">
        <f>+E215*D215</f>
        <v>0</v>
      </c>
    </row>
    <row r="216" spans="1:6" ht="15">
      <c r="A216" s="619">
        <f>MAX($A$15:$A215)+1</f>
        <v>69</v>
      </c>
      <c r="B216" s="573" t="s">
        <v>1514</v>
      </c>
      <c r="C216" s="583" t="s">
        <v>520</v>
      </c>
      <c r="D216" s="574">
        <v>1</v>
      </c>
      <c r="E216" s="628"/>
      <c r="F216" s="572">
        <f>+E216*D216</f>
        <v>0</v>
      </c>
    </row>
    <row r="217" spans="1:6" ht="15">
      <c r="A217" s="619">
        <f>MAX($A$15:$A216)+1</f>
        <v>70</v>
      </c>
      <c r="B217" s="573" t="s">
        <v>1515</v>
      </c>
      <c r="C217" s="583" t="s">
        <v>520</v>
      </c>
      <c r="D217" s="574">
        <v>1</v>
      </c>
      <c r="E217" s="628"/>
      <c r="F217" s="572">
        <f>+E217*D217</f>
        <v>0</v>
      </c>
    </row>
    <row r="218" spans="1:6" ht="15">
      <c r="A218" s="619">
        <f>MAX($A$15:$A217)+1</f>
        <v>71</v>
      </c>
      <c r="B218" s="573" t="s">
        <v>1516</v>
      </c>
      <c r="C218" s="583" t="s">
        <v>520</v>
      </c>
      <c r="D218" s="574">
        <v>1</v>
      </c>
      <c r="E218" s="628"/>
      <c r="F218" s="572">
        <f>+E218*D218</f>
        <v>0</v>
      </c>
    </row>
    <row r="219" spans="1:6" ht="15">
      <c r="A219" s="619">
        <f>MAX($A$15:$A218)+1</f>
        <v>72</v>
      </c>
      <c r="B219" s="573" t="s">
        <v>1517</v>
      </c>
      <c r="C219" s="583" t="s">
        <v>520</v>
      </c>
      <c r="D219" s="574">
        <v>1</v>
      </c>
      <c r="E219" s="628"/>
      <c r="F219" s="572">
        <f>+E219*D219</f>
        <v>0</v>
      </c>
    </row>
    <row r="220" spans="1:6" ht="15">
      <c r="A220" s="625"/>
      <c r="B220" s="596" t="s">
        <v>1518</v>
      </c>
      <c r="C220" s="583"/>
      <c r="D220" s="574"/>
      <c r="E220" s="856"/>
      <c r="F220" s="562"/>
    </row>
    <row r="221" spans="1:6" ht="20.25" customHeight="1">
      <c r="A221" s="619">
        <f>MAX($A$15:$A220)+1</f>
        <v>73</v>
      </c>
      <c r="B221" s="573" t="s">
        <v>1519</v>
      </c>
      <c r="C221" s="583" t="s">
        <v>520</v>
      </c>
      <c r="D221" s="574">
        <v>23</v>
      </c>
      <c r="E221" s="628"/>
      <c r="F221" s="572">
        <f>+E221*D221</f>
        <v>0</v>
      </c>
    </row>
    <row r="222" spans="1:6" ht="30">
      <c r="A222" s="619">
        <f>MAX($A$15:$A221)+1</f>
        <v>74</v>
      </c>
      <c r="B222" s="573" t="s">
        <v>1520</v>
      </c>
      <c r="C222" s="583" t="s">
        <v>520</v>
      </c>
      <c r="D222" s="574">
        <v>4</v>
      </c>
      <c r="E222" s="628"/>
      <c r="F222" s="572">
        <f>+E222*D222</f>
        <v>0</v>
      </c>
    </row>
    <row r="223" spans="1:6" ht="15">
      <c r="A223" s="619">
        <f>MAX($A$15:$A222)+1</f>
        <v>75</v>
      </c>
      <c r="B223" s="597" t="s">
        <v>1521</v>
      </c>
      <c r="C223" s="583" t="s">
        <v>520</v>
      </c>
      <c r="D223" s="574">
        <v>4</v>
      </c>
      <c r="E223" s="628"/>
      <c r="F223" s="572">
        <f>+E223*D223</f>
        <v>0</v>
      </c>
    </row>
    <row r="224" spans="1:6" ht="30">
      <c r="A224" s="619">
        <f>MAX($A$15:$A223)+1</f>
        <v>76</v>
      </c>
      <c r="B224" s="573" t="s">
        <v>1522</v>
      </c>
      <c r="C224" s="583" t="s">
        <v>650</v>
      </c>
      <c r="D224" s="574">
        <v>580</v>
      </c>
      <c r="E224" s="628"/>
      <c r="F224" s="572">
        <f>+E224*D224</f>
        <v>0</v>
      </c>
    </row>
    <row r="225" spans="1:6" ht="15">
      <c r="A225" s="619">
        <f>MAX($A$15:$A224)+1</f>
        <v>77</v>
      </c>
      <c r="B225" s="573" t="s">
        <v>1523</v>
      </c>
      <c r="C225" s="583" t="s">
        <v>650</v>
      </c>
      <c r="D225" s="574">
        <v>520</v>
      </c>
      <c r="E225" s="628"/>
      <c r="F225" s="575">
        <f>+D225*E225</f>
        <v>0</v>
      </c>
    </row>
    <row r="226" spans="1:6" ht="45">
      <c r="A226" s="619">
        <f>MAX($A$15:$A225)+1</f>
        <v>78</v>
      </c>
      <c r="B226" s="573" t="s">
        <v>1524</v>
      </c>
      <c r="C226" s="583" t="s">
        <v>520</v>
      </c>
      <c r="D226" s="574">
        <v>23</v>
      </c>
      <c r="E226" s="628"/>
      <c r="F226" s="572">
        <f>+E226*D226</f>
        <v>0</v>
      </c>
    </row>
    <row r="227" spans="1:6" ht="15">
      <c r="A227" s="619">
        <f>MAX($A$15:$A226)+1</f>
        <v>79</v>
      </c>
      <c r="B227" s="573" t="s">
        <v>1525</v>
      </c>
      <c r="C227" s="583" t="s">
        <v>520</v>
      </c>
      <c r="D227" s="574">
        <v>1</v>
      </c>
      <c r="E227" s="628"/>
      <c r="F227" s="572">
        <f>D227*E227</f>
        <v>0</v>
      </c>
    </row>
    <row r="228" spans="1:6" ht="30">
      <c r="A228" s="619">
        <f>MAX($A$15:$A227)+1</f>
        <v>80</v>
      </c>
      <c r="B228" s="573" t="s">
        <v>1526</v>
      </c>
      <c r="C228" s="583" t="s">
        <v>748</v>
      </c>
      <c r="D228" s="574">
        <v>1</v>
      </c>
      <c r="E228" s="628"/>
      <c r="F228" s="572">
        <f>D228*E228</f>
        <v>0</v>
      </c>
    </row>
    <row r="229" spans="1:6" ht="15">
      <c r="A229" s="619">
        <f>MAX($A$15:$A228)+1</f>
        <v>81</v>
      </c>
      <c r="B229" s="573" t="s">
        <v>1387</v>
      </c>
      <c r="C229" s="583" t="s">
        <v>1388</v>
      </c>
      <c r="D229" s="574">
        <v>5</v>
      </c>
      <c r="E229" s="628"/>
      <c r="F229" s="572">
        <f>SUM(F214:F228)*D229%</f>
        <v>0</v>
      </c>
    </row>
    <row r="230" spans="1:6" ht="15">
      <c r="A230" s="619"/>
      <c r="B230" s="598" t="s">
        <v>1527</v>
      </c>
      <c r="C230" s="599"/>
      <c r="D230" s="599"/>
      <c r="E230" s="858"/>
      <c r="F230" s="599"/>
    </row>
    <row r="231" spans="1:6" ht="15">
      <c r="A231" s="619">
        <f>MAX($A$36:$A229)+1</f>
        <v>82</v>
      </c>
      <c r="B231" s="587" t="s">
        <v>1528</v>
      </c>
      <c r="C231" s="585" t="s">
        <v>520</v>
      </c>
      <c r="D231" s="600">
        <v>1</v>
      </c>
      <c r="E231" s="628"/>
      <c r="F231" s="572">
        <f aca="true" t="shared" si="9" ref="F231:F236">D231*E231</f>
        <v>0</v>
      </c>
    </row>
    <row r="232" spans="1:6" ht="15">
      <c r="A232" s="619">
        <f>MAX($A$36:$A231)+1</f>
        <v>83</v>
      </c>
      <c r="B232" s="587" t="s">
        <v>1529</v>
      </c>
      <c r="C232" s="585" t="s">
        <v>520</v>
      </c>
      <c r="D232" s="600">
        <v>1</v>
      </c>
      <c r="E232" s="628"/>
      <c r="F232" s="572">
        <f t="shared" si="9"/>
        <v>0</v>
      </c>
    </row>
    <row r="233" spans="1:6" ht="30">
      <c r="A233" s="619">
        <f>MAX($A$36:$A232)+1</f>
        <v>84</v>
      </c>
      <c r="B233" s="587" t="s">
        <v>1530</v>
      </c>
      <c r="C233" s="585" t="s">
        <v>520</v>
      </c>
      <c r="D233" s="600">
        <v>50</v>
      </c>
      <c r="E233" s="628"/>
      <c r="F233" s="572">
        <f t="shared" si="9"/>
        <v>0</v>
      </c>
    </row>
    <row r="234" spans="1:6" ht="15">
      <c r="A234" s="619">
        <f>MAX($A$36:$A233)+1</f>
        <v>85</v>
      </c>
      <c r="B234" s="587" t="s">
        <v>1531</v>
      </c>
      <c r="C234" s="585" t="s">
        <v>650</v>
      </c>
      <c r="D234" s="600">
        <v>20</v>
      </c>
      <c r="E234" s="628"/>
      <c r="F234" s="572">
        <f t="shared" si="9"/>
        <v>0</v>
      </c>
    </row>
    <row r="235" spans="1:6" ht="18.75" customHeight="1">
      <c r="A235" s="619">
        <f>MAX($A$36:$A234)+1</f>
        <v>86</v>
      </c>
      <c r="B235" s="587" t="s">
        <v>1532</v>
      </c>
      <c r="C235" s="585" t="s">
        <v>650</v>
      </c>
      <c r="D235" s="600">
        <v>60</v>
      </c>
      <c r="E235" s="628"/>
      <c r="F235" s="572">
        <f t="shared" si="9"/>
        <v>0</v>
      </c>
    </row>
    <row r="236" spans="1:6" ht="21.75" customHeight="1">
      <c r="A236" s="619">
        <f>MAX($A$36:$A235)+1</f>
        <v>87</v>
      </c>
      <c r="B236" s="587" t="s">
        <v>1533</v>
      </c>
      <c r="C236" s="585" t="s">
        <v>650</v>
      </c>
      <c r="D236" s="600">
        <v>20</v>
      </c>
      <c r="E236" s="628"/>
      <c r="F236" s="572">
        <f t="shared" si="9"/>
        <v>0</v>
      </c>
    </row>
    <row r="237" spans="1:6" ht="15">
      <c r="A237" s="619">
        <f>MAX($A$36:$A236)+1</f>
        <v>88</v>
      </c>
      <c r="B237" s="573" t="s">
        <v>1408</v>
      </c>
      <c r="C237" s="583"/>
      <c r="D237" s="574"/>
      <c r="E237" s="856"/>
      <c r="F237" s="575"/>
    </row>
    <row r="238" spans="1:6" ht="15">
      <c r="A238" s="622" t="s">
        <v>1381</v>
      </c>
      <c r="B238" s="573" t="s">
        <v>1534</v>
      </c>
      <c r="C238" s="583" t="s">
        <v>650</v>
      </c>
      <c r="D238" s="574">
        <v>100</v>
      </c>
      <c r="E238" s="628"/>
      <c r="F238" s="572">
        <f>+D238*E238</f>
        <v>0</v>
      </c>
    </row>
    <row r="239" spans="1:6" ht="30">
      <c r="A239" s="619">
        <f>MAX($A$36:$A238)+1</f>
        <v>89</v>
      </c>
      <c r="B239" s="587" t="s">
        <v>1535</v>
      </c>
      <c r="C239" s="585" t="s">
        <v>748</v>
      </c>
      <c r="D239" s="600">
        <v>1</v>
      </c>
      <c r="E239" s="628"/>
      <c r="F239" s="572">
        <f>D239*E239</f>
        <v>0</v>
      </c>
    </row>
    <row r="240" spans="1:6" ht="30">
      <c r="A240" s="619">
        <f>MAX($A$36:$A239)+1</f>
        <v>90</v>
      </c>
      <c r="B240" s="587" t="s">
        <v>1536</v>
      </c>
      <c r="C240" s="585" t="s">
        <v>748</v>
      </c>
      <c r="D240" s="600">
        <v>1</v>
      </c>
      <c r="E240" s="628"/>
      <c r="F240" s="572">
        <f>D240*E240</f>
        <v>0</v>
      </c>
    </row>
    <row r="241" spans="1:6" ht="45">
      <c r="A241" s="619">
        <f>MAX($A$36:$A240)+1</f>
        <v>91</v>
      </c>
      <c r="B241" s="587" t="s">
        <v>1537</v>
      </c>
      <c r="C241" s="585" t="s">
        <v>748</v>
      </c>
      <c r="D241" s="600">
        <v>1</v>
      </c>
      <c r="E241" s="628"/>
      <c r="F241" s="572">
        <f>D241*E241</f>
        <v>0</v>
      </c>
    </row>
    <row r="242" spans="1:6" ht="15">
      <c r="A242" s="619">
        <f>MAX($A$36:$A241)+1</f>
        <v>92</v>
      </c>
      <c r="B242" s="587" t="s">
        <v>1538</v>
      </c>
      <c r="C242" s="585" t="s">
        <v>748</v>
      </c>
      <c r="D242" s="600">
        <v>1</v>
      </c>
      <c r="E242" s="628"/>
      <c r="F242" s="572">
        <f>D242*E242</f>
        <v>0</v>
      </c>
    </row>
    <row r="243" spans="1:6" ht="15">
      <c r="A243" s="619">
        <f>MAX($A$36:$A242)+1</f>
        <v>93</v>
      </c>
      <c r="B243" s="587" t="s">
        <v>1387</v>
      </c>
      <c r="C243" s="601" t="s">
        <v>1388</v>
      </c>
      <c r="D243" s="602">
        <v>5</v>
      </c>
      <c r="E243" s="854"/>
      <c r="F243" s="572">
        <f>SUM(F215:F242)*D243%</f>
        <v>0</v>
      </c>
    </row>
    <row r="244" spans="1:6" ht="15">
      <c r="A244" s="625"/>
      <c r="B244" s="563"/>
      <c r="C244" s="574"/>
      <c r="D244" s="574"/>
      <c r="E244" s="856"/>
      <c r="F244" s="562"/>
    </row>
    <row r="245" spans="1:6" ht="15">
      <c r="A245" s="617" t="s">
        <v>1341</v>
      </c>
      <c r="B245" s="595" t="s">
        <v>1539</v>
      </c>
      <c r="C245" s="577"/>
      <c r="D245" s="566"/>
      <c r="E245" s="853"/>
      <c r="F245" s="426">
        <f>SUM(F248:F262)</f>
        <v>0</v>
      </c>
    </row>
    <row r="246" spans="1:6" ht="30">
      <c r="A246" s="617"/>
      <c r="B246" s="568" t="s">
        <v>1540</v>
      </c>
      <c r="C246" s="603"/>
      <c r="D246" s="566"/>
      <c r="E246" s="853"/>
      <c r="F246" s="567"/>
    </row>
    <row r="247" spans="1:6" ht="15">
      <c r="A247" s="621"/>
      <c r="B247" s="579" t="s">
        <v>1377</v>
      </c>
      <c r="C247" s="578" t="s">
        <v>1378</v>
      </c>
      <c r="D247" s="567" t="s">
        <v>1379</v>
      </c>
      <c r="E247" s="853" t="s">
        <v>1380</v>
      </c>
      <c r="F247" s="567" t="s">
        <v>1337</v>
      </c>
    </row>
    <row r="248" spans="1:6" ht="45">
      <c r="A248" s="619">
        <f>MAX($A$15:$A247)+1</f>
        <v>94</v>
      </c>
      <c r="B248" s="584" t="s">
        <v>1541</v>
      </c>
      <c r="C248" s="585" t="s">
        <v>650</v>
      </c>
      <c r="D248" s="600">
        <v>60</v>
      </c>
      <c r="E248" s="628"/>
      <c r="F248" s="572">
        <f>E248*D248</f>
        <v>0</v>
      </c>
    </row>
    <row r="249" spans="1:6" ht="30">
      <c r="A249" s="619">
        <f>MAX($A$15:$A248)+1</f>
        <v>95</v>
      </c>
      <c r="B249" s="584" t="s">
        <v>1542</v>
      </c>
      <c r="C249" s="585" t="s">
        <v>650</v>
      </c>
      <c r="D249" s="600">
        <v>30</v>
      </c>
      <c r="E249" s="628"/>
      <c r="F249" s="572">
        <f>+E249*D249</f>
        <v>0</v>
      </c>
    </row>
    <row r="250" spans="1:6" ht="30">
      <c r="A250" s="619">
        <f>MAX($A$15:$A248)+1</f>
        <v>95</v>
      </c>
      <c r="B250" s="584" t="s">
        <v>1543</v>
      </c>
      <c r="C250" s="585" t="s">
        <v>650</v>
      </c>
      <c r="D250" s="600">
        <v>180</v>
      </c>
      <c r="E250" s="628"/>
      <c r="F250" s="572">
        <f>+E250*D250</f>
        <v>0</v>
      </c>
    </row>
    <row r="251" spans="1:6" ht="15">
      <c r="A251" s="619">
        <f>MAX($A$15:$A250)+1</f>
        <v>96</v>
      </c>
      <c r="B251" s="584" t="s">
        <v>1544</v>
      </c>
      <c r="C251" s="585" t="s">
        <v>650</v>
      </c>
      <c r="D251" s="600">
        <v>120</v>
      </c>
      <c r="E251" s="628"/>
      <c r="F251" s="572">
        <f>+E251*D251</f>
        <v>0</v>
      </c>
    </row>
    <row r="252" spans="1:6" ht="30">
      <c r="A252" s="619">
        <f>MAX($A$15:$A251)+1</f>
        <v>97</v>
      </c>
      <c r="B252" s="584" t="s">
        <v>1545</v>
      </c>
      <c r="C252" s="585" t="s">
        <v>650</v>
      </c>
      <c r="D252" s="600">
        <v>100</v>
      </c>
      <c r="E252" s="628"/>
      <c r="F252" s="572">
        <f>D252*E252</f>
        <v>0</v>
      </c>
    </row>
    <row r="253" spans="1:6" ht="15">
      <c r="A253" s="619">
        <f>MAX($A$15:$A252)+1</f>
        <v>98</v>
      </c>
      <c r="B253" s="584" t="s">
        <v>1546</v>
      </c>
      <c r="C253" s="585" t="s">
        <v>520</v>
      </c>
      <c r="D253" s="600">
        <v>25</v>
      </c>
      <c r="E253" s="628"/>
      <c r="F253" s="572">
        <f>+E253*D253</f>
        <v>0</v>
      </c>
    </row>
    <row r="254" spans="1:6" ht="15">
      <c r="A254" s="619">
        <f>MAX($A$15:$A253)+1</f>
        <v>99</v>
      </c>
      <c r="B254" s="604" t="s">
        <v>1547</v>
      </c>
      <c r="C254" s="585" t="s">
        <v>520</v>
      </c>
      <c r="D254" s="600">
        <v>20</v>
      </c>
      <c r="E254" s="628"/>
      <c r="F254" s="572">
        <f>+E254*D254</f>
        <v>0</v>
      </c>
    </row>
    <row r="255" spans="1:6" ht="30">
      <c r="A255" s="619">
        <f>MAX($A$15:$A254)+1</f>
        <v>100</v>
      </c>
      <c r="B255" s="573" t="s">
        <v>1548</v>
      </c>
      <c r="C255" s="583" t="s">
        <v>650</v>
      </c>
      <c r="D255" s="574">
        <v>90</v>
      </c>
      <c r="E255" s="628"/>
      <c r="F255" s="572">
        <f>+D255*E255</f>
        <v>0</v>
      </c>
    </row>
    <row r="256" spans="1:6" ht="15">
      <c r="A256" s="619">
        <f>MAX($A$15:$A255)+1</f>
        <v>101</v>
      </c>
      <c r="B256" s="584" t="s">
        <v>1549</v>
      </c>
      <c r="C256" s="585" t="s">
        <v>520</v>
      </c>
      <c r="D256" s="600">
        <v>4</v>
      </c>
      <c r="E256" s="628"/>
      <c r="F256" s="572">
        <f>+E256*D256</f>
        <v>0</v>
      </c>
    </row>
    <row r="257" spans="1:6" ht="15">
      <c r="A257" s="619">
        <f>MAX($A$15:$A256)+1</f>
        <v>102</v>
      </c>
      <c r="B257" s="584" t="s">
        <v>1550</v>
      </c>
      <c r="C257" s="585" t="s">
        <v>520</v>
      </c>
      <c r="D257" s="600">
        <v>6</v>
      </c>
      <c r="E257" s="628"/>
      <c r="F257" s="572">
        <f>+E257*D257</f>
        <v>0</v>
      </c>
    </row>
    <row r="258" spans="1:6" ht="30">
      <c r="A258" s="619">
        <f>MAX($A$15:$A257)+1</f>
        <v>103</v>
      </c>
      <c r="B258" s="584" t="s">
        <v>1551</v>
      </c>
      <c r="C258" s="585" t="s">
        <v>520</v>
      </c>
      <c r="D258" s="600">
        <v>20</v>
      </c>
      <c r="E258" s="628"/>
      <c r="F258" s="572">
        <f>+E258*D258</f>
        <v>0</v>
      </c>
    </row>
    <row r="259" spans="1:6" ht="15">
      <c r="A259" s="619">
        <f>MAX($A$15:$A258)+1</f>
        <v>104</v>
      </c>
      <c r="B259" s="584" t="s">
        <v>1552</v>
      </c>
      <c r="C259" s="585" t="s">
        <v>748</v>
      </c>
      <c r="D259" s="600">
        <v>1</v>
      </c>
      <c r="E259" s="628"/>
      <c r="F259" s="572">
        <f>+E259*D259</f>
        <v>0</v>
      </c>
    </row>
    <row r="260" spans="1:6" ht="15">
      <c r="A260" s="619"/>
      <c r="B260" s="584"/>
      <c r="C260" s="585"/>
      <c r="D260" s="600"/>
      <c r="E260" s="859"/>
      <c r="F260" s="572"/>
    </row>
    <row r="261" spans="1:6" ht="15">
      <c r="A261" s="619">
        <f>MAX($A$15:$A260)+1</f>
        <v>105</v>
      </c>
      <c r="B261" s="584" t="s">
        <v>1387</v>
      </c>
      <c r="C261" s="585" t="s">
        <v>1388</v>
      </c>
      <c r="D261" s="600">
        <v>3</v>
      </c>
      <c r="E261" s="859"/>
      <c r="F261" s="572">
        <f>SUM(F248:F259)*D261%</f>
        <v>0</v>
      </c>
    </row>
    <row r="262" spans="1:6" ht="15">
      <c r="A262" s="620"/>
      <c r="B262" s="573"/>
      <c r="C262" s="594"/>
      <c r="D262" s="586"/>
      <c r="E262" s="856"/>
      <c r="F262" s="572"/>
    </row>
    <row r="263" spans="1:6" ht="15">
      <c r="A263" s="617" t="s">
        <v>1342</v>
      </c>
      <c r="B263" s="576" t="s">
        <v>1553</v>
      </c>
      <c r="C263" s="577"/>
      <c r="D263" s="566"/>
      <c r="E263" s="853"/>
      <c r="F263" s="426">
        <f>SUBTOTAL(9,F266:F267)</f>
        <v>0</v>
      </c>
    </row>
    <row r="264" spans="1:6" ht="15">
      <c r="A264" s="617"/>
      <c r="B264" s="576"/>
      <c r="C264" s="577"/>
      <c r="D264" s="566"/>
      <c r="E264" s="853"/>
      <c r="F264" s="565"/>
    </row>
    <row r="265" spans="1:6" ht="15">
      <c r="A265" s="621"/>
      <c r="B265" s="579" t="s">
        <v>1377</v>
      </c>
      <c r="C265" s="578" t="s">
        <v>1378</v>
      </c>
      <c r="D265" s="567" t="s">
        <v>1379</v>
      </c>
      <c r="E265" s="853" t="s">
        <v>1380</v>
      </c>
      <c r="F265" s="567" t="s">
        <v>1337</v>
      </c>
    </row>
    <row r="266" spans="1:6" ht="15">
      <c r="A266" s="619">
        <f>MAX($A$15:$A265)+1</f>
        <v>106</v>
      </c>
      <c r="B266" s="285" t="s">
        <v>1554</v>
      </c>
      <c r="C266" s="585" t="s">
        <v>748</v>
      </c>
      <c r="D266" s="600">
        <v>1</v>
      </c>
      <c r="E266" s="629"/>
      <c r="F266" s="572">
        <f>+E266*D266</f>
        <v>0</v>
      </c>
    </row>
    <row r="267" spans="1:6" ht="15">
      <c r="A267" s="626"/>
      <c r="B267" s="343"/>
      <c r="C267" s="425"/>
      <c r="D267" s="445"/>
      <c r="E267" s="860"/>
      <c r="F267" s="445"/>
    </row>
  </sheetData>
  <sheetProtection password="EE55" sheet="1" selectLockedCells="1"/>
  <printOptions/>
  <pageMargins left="0.3937007874015748" right="0.11811023622047245" top="0.3937007874015748" bottom="0.35433070866141736" header="0.11811023622047245" footer="0.11811023622047245"/>
  <pageSetup horizontalDpi="600" verticalDpi="600" orientation="portrait" paperSize="9" r:id="rId2"/>
  <headerFooter>
    <oddHeader>&amp;L&amp;D&amp;R&amp;"Arial,Krepko"&amp;8BIRO APIS d.o.o.; Zemljemerska ul.10; 1000 Ljubljana</oddHeader>
    <oddFooter>&amp;L&amp;8&amp;F&amp;R&amp;P/&amp;N</oddFooter>
  </headerFooter>
  <drawing r:id="rId1"/>
</worksheet>
</file>

<file path=xl/worksheets/sheet4.xml><?xml version="1.0" encoding="utf-8"?>
<worksheet xmlns="http://schemas.openxmlformats.org/spreadsheetml/2006/main" xmlns:r="http://schemas.openxmlformats.org/officeDocument/2006/relationships">
  <sheetPr>
    <tabColor rgb="FFC00000"/>
  </sheetPr>
  <dimension ref="A1:F122"/>
  <sheetViews>
    <sheetView view="pageBreakPreview" zoomScaleSheetLayoutView="100" zoomScalePageLayoutView="0" workbookViewId="0" topLeftCell="A40">
      <selection activeCell="E25" sqref="E25"/>
    </sheetView>
  </sheetViews>
  <sheetFormatPr defaultColWidth="9.140625" defaultRowHeight="12.75"/>
  <cols>
    <col min="1" max="1" width="6.7109375" style="659" customWidth="1"/>
    <col min="2" max="2" width="50.7109375" style="658" customWidth="1"/>
    <col min="3" max="3" width="4.28125" style="659" customWidth="1"/>
    <col min="4" max="4" width="9.140625" style="659" customWidth="1"/>
    <col min="5" max="5" width="9.8515625" style="874" customWidth="1"/>
    <col min="6" max="6" width="14.00390625" style="662" customWidth="1"/>
    <col min="7" max="16384" width="9.140625" style="658" customWidth="1"/>
  </cols>
  <sheetData>
    <row r="1" spans="1:6" ht="12.75">
      <c r="A1" s="675"/>
      <c r="B1" s="676"/>
      <c r="C1" s="677"/>
      <c r="D1" s="677"/>
      <c r="E1" s="862"/>
      <c r="F1" s="678"/>
    </row>
    <row r="2" spans="2:6" ht="12.75">
      <c r="B2" s="679" t="s">
        <v>2264</v>
      </c>
      <c r="C2" s="680"/>
      <c r="D2" s="680"/>
      <c r="E2" s="863"/>
      <c r="F2" s="681" t="s">
        <v>1337</v>
      </c>
    </row>
    <row r="3" spans="1:6" ht="12.75">
      <c r="A3" s="682"/>
      <c r="B3" s="683"/>
      <c r="C3" s="684"/>
      <c r="D3" s="684"/>
      <c r="E3" s="864"/>
      <c r="F3" s="685"/>
    </row>
    <row r="4" spans="1:6" ht="12.75">
      <c r="A4" s="686" t="s">
        <v>1338</v>
      </c>
      <c r="B4" s="687" t="str">
        <f>B45</f>
        <v>GRADBENA DELA</v>
      </c>
      <c r="C4" s="688"/>
      <c r="D4" s="688"/>
      <c r="E4" s="865"/>
      <c r="F4" s="689">
        <f>F45</f>
        <v>0</v>
      </c>
    </row>
    <row r="5" spans="1:6" ht="12.75">
      <c r="A5" s="690" t="s">
        <v>716</v>
      </c>
      <c r="B5" s="687" t="str">
        <f>B55</f>
        <v>ELEKTRO MONTAŽNA DELA</v>
      </c>
      <c r="C5" s="688"/>
      <c r="D5" s="688"/>
      <c r="E5" s="865"/>
      <c r="F5" s="689">
        <f>F55</f>
        <v>0</v>
      </c>
    </row>
    <row r="6" spans="1:6" ht="12.75">
      <c r="A6" s="690" t="s">
        <v>1127</v>
      </c>
      <c r="B6" s="687" t="str">
        <f>B107</f>
        <v>OSTALI STROŠKI</v>
      </c>
      <c r="C6" s="688"/>
      <c r="D6" s="688"/>
      <c r="E6" s="865"/>
      <c r="F6" s="689">
        <f>F107</f>
        <v>0</v>
      </c>
    </row>
    <row r="7" spans="1:6" ht="13.5" thickBot="1">
      <c r="A7" s="690"/>
      <c r="B7" s="691"/>
      <c r="C7" s="692"/>
      <c r="D7" s="692"/>
      <c r="E7" s="866"/>
      <c r="F7" s="689"/>
    </row>
    <row r="8" spans="1:6" ht="16.5" thickTop="1">
      <c r="A8" s="693"/>
      <c r="B8" s="745" t="s">
        <v>1343</v>
      </c>
      <c r="C8" s="673"/>
      <c r="D8" s="673"/>
      <c r="E8" s="867"/>
      <c r="F8" s="673">
        <f>SUM(F4:F7)</f>
        <v>0</v>
      </c>
    </row>
    <row r="9" spans="1:6" ht="12.75">
      <c r="A9" s="682"/>
      <c r="B9" s="694"/>
      <c r="C9" s="695"/>
      <c r="D9" s="695"/>
      <c r="E9" s="868"/>
      <c r="F9" s="696"/>
    </row>
    <row r="10" spans="1:6" ht="12.75">
      <c r="A10" s="682"/>
      <c r="B10" s="694" t="s">
        <v>1344</v>
      </c>
      <c r="C10" s="695"/>
      <c r="D10" s="695"/>
      <c r="E10" s="868"/>
      <c r="F10" s="696"/>
    </row>
    <row r="11" spans="1:6" ht="12.75">
      <c r="A11" s="682"/>
      <c r="B11" s="694"/>
      <c r="C11" s="695"/>
      <c r="D11" s="695"/>
      <c r="E11" s="868"/>
      <c r="F11" s="696"/>
    </row>
    <row r="12" spans="1:6" ht="42.75" customHeight="1">
      <c r="A12" s="682"/>
      <c r="B12" s="697" t="s">
        <v>1345</v>
      </c>
      <c r="C12" s="695"/>
      <c r="D12" s="695"/>
      <c r="E12" s="868"/>
      <c r="F12" s="696"/>
    </row>
    <row r="13" spans="1:6" ht="51">
      <c r="A13" s="682"/>
      <c r="B13" s="697" t="s">
        <v>1346</v>
      </c>
      <c r="C13" s="695"/>
      <c r="D13" s="695"/>
      <c r="E13" s="868"/>
      <c r="F13" s="696"/>
    </row>
    <row r="14" spans="1:6" ht="12.75">
      <c r="A14" s="682"/>
      <c r="B14" s="697"/>
      <c r="C14" s="695"/>
      <c r="D14" s="695"/>
      <c r="E14" s="868"/>
      <c r="F14" s="696"/>
    </row>
    <row r="15" spans="1:6" ht="12.75">
      <c r="A15" s="682"/>
      <c r="B15" s="697"/>
      <c r="C15" s="695"/>
      <c r="D15" s="695"/>
      <c r="E15" s="868"/>
      <c r="F15" s="696"/>
    </row>
    <row r="16" spans="1:6" ht="12.75">
      <c r="A16" s="682"/>
      <c r="B16" s="697"/>
      <c r="C16" s="695"/>
      <c r="D16" s="695"/>
      <c r="E16" s="868"/>
      <c r="F16" s="696"/>
    </row>
    <row r="17" spans="1:6" ht="12.75">
      <c r="A17" s="698"/>
      <c r="B17" s="699" t="s">
        <v>1348</v>
      </c>
      <c r="C17" s="695"/>
      <c r="D17" s="695"/>
      <c r="E17" s="868"/>
      <c r="F17" s="696"/>
    </row>
    <row r="18" spans="1:6" ht="12.75">
      <c r="A18" s="700"/>
      <c r="B18" s="701"/>
      <c r="C18" s="695"/>
      <c r="D18" s="695"/>
      <c r="E18" s="868"/>
      <c r="F18" s="696"/>
    </row>
    <row r="19" spans="1:6" ht="12.75">
      <c r="A19" s="702"/>
      <c r="B19" s="697"/>
      <c r="C19" s="695"/>
      <c r="D19" s="695"/>
      <c r="E19" s="868"/>
      <c r="F19" s="696"/>
    </row>
    <row r="20" spans="1:6" ht="38.25">
      <c r="A20" s="703"/>
      <c r="B20" s="704" t="s">
        <v>1349</v>
      </c>
      <c r="C20" s="695"/>
      <c r="D20" s="695"/>
      <c r="E20" s="868"/>
      <c r="F20" s="696"/>
    </row>
    <row r="21" spans="1:6" ht="12.75">
      <c r="A21" s="705"/>
      <c r="B21" s="706"/>
      <c r="C21" s="695"/>
      <c r="D21" s="695"/>
      <c r="E21" s="868"/>
      <c r="F21" s="696"/>
    </row>
    <row r="22" spans="1:6" ht="89.25">
      <c r="A22" s="707" t="s">
        <v>1350</v>
      </c>
      <c r="B22" s="708" t="s">
        <v>1351</v>
      </c>
      <c r="C22" s="695"/>
      <c r="D22" s="695"/>
      <c r="E22" s="868"/>
      <c r="F22" s="696"/>
    </row>
    <row r="23" spans="1:6" ht="12.75">
      <c r="A23" s="707"/>
      <c r="B23" s="706"/>
      <c r="C23" s="695"/>
      <c r="D23" s="695"/>
      <c r="E23" s="868"/>
      <c r="F23" s="696"/>
    </row>
    <row r="24" spans="1:6" ht="51">
      <c r="A24" s="707" t="s">
        <v>1352</v>
      </c>
      <c r="B24" s="708" t="s">
        <v>1353</v>
      </c>
      <c r="C24" s="695"/>
      <c r="D24" s="695"/>
      <c r="E24" s="868"/>
      <c r="F24" s="696"/>
    </row>
    <row r="25" spans="1:6" ht="12.75">
      <c r="A25" s="707"/>
      <c r="B25" s="706"/>
      <c r="C25" s="695"/>
      <c r="D25" s="695"/>
      <c r="E25" s="868"/>
      <c r="F25" s="696"/>
    </row>
    <row r="26" spans="1:6" ht="89.25">
      <c r="A26" s="707" t="s">
        <v>1354</v>
      </c>
      <c r="B26" s="708" t="s">
        <v>1355</v>
      </c>
      <c r="C26" s="695"/>
      <c r="D26" s="695"/>
      <c r="E26" s="868"/>
      <c r="F26" s="696"/>
    </row>
    <row r="27" spans="1:6" ht="12.75">
      <c r="A27" s="707"/>
      <c r="B27" s="706"/>
      <c r="C27" s="695"/>
      <c r="D27" s="695"/>
      <c r="E27" s="868"/>
      <c r="F27" s="696"/>
    </row>
    <row r="28" spans="1:6" ht="38.25">
      <c r="A28" s="707" t="s">
        <v>1356</v>
      </c>
      <c r="B28" s="708" t="s">
        <v>1357</v>
      </c>
      <c r="C28" s="695"/>
      <c r="D28" s="695"/>
      <c r="E28" s="868"/>
      <c r="F28" s="696"/>
    </row>
    <row r="29" spans="1:6" ht="12.75">
      <c r="A29" s="707"/>
      <c r="B29" s="706"/>
      <c r="C29" s="695"/>
      <c r="D29" s="695"/>
      <c r="E29" s="868"/>
      <c r="F29" s="696"/>
    </row>
    <row r="30" spans="1:6" ht="63.75">
      <c r="A30" s="707" t="s">
        <v>1358</v>
      </c>
      <c r="B30" s="708" t="s">
        <v>1359</v>
      </c>
      <c r="C30" s="695"/>
      <c r="D30" s="695"/>
      <c r="E30" s="868"/>
      <c r="F30" s="696"/>
    </row>
    <row r="31" spans="1:6" ht="12.75">
      <c r="A31" s="707"/>
      <c r="B31" s="706"/>
      <c r="C31" s="695"/>
      <c r="D31" s="695"/>
      <c r="E31" s="868"/>
      <c r="F31" s="696"/>
    </row>
    <row r="32" spans="1:6" ht="25.5">
      <c r="A32" s="707" t="s">
        <v>1360</v>
      </c>
      <c r="B32" s="708" t="s">
        <v>1361</v>
      </c>
      <c r="C32" s="695"/>
      <c r="D32" s="695"/>
      <c r="E32" s="868"/>
      <c r="F32" s="696"/>
    </row>
    <row r="33" spans="1:6" ht="12.75">
      <c r="A33" s="707"/>
      <c r="B33" s="706"/>
      <c r="C33" s="695"/>
      <c r="D33" s="695"/>
      <c r="E33" s="868"/>
      <c r="F33" s="696"/>
    </row>
    <row r="34" spans="1:6" ht="25.5">
      <c r="A34" s="707" t="s">
        <v>1362</v>
      </c>
      <c r="B34" s="708" t="s">
        <v>1363</v>
      </c>
      <c r="C34" s="695"/>
      <c r="D34" s="695"/>
      <c r="E34" s="868"/>
      <c r="F34" s="696"/>
    </row>
    <row r="35" spans="1:6" ht="12.75">
      <c r="A35" s="707"/>
      <c r="B35" s="708"/>
      <c r="C35" s="695"/>
      <c r="D35" s="695"/>
      <c r="E35" s="868"/>
      <c r="F35" s="696"/>
    </row>
    <row r="36" spans="1:6" ht="25.5">
      <c r="A36" s="707" t="s">
        <v>1364</v>
      </c>
      <c r="B36" s="708" t="s">
        <v>1365</v>
      </c>
      <c r="C36" s="695"/>
      <c r="D36" s="695"/>
      <c r="E36" s="868"/>
      <c r="F36" s="696"/>
    </row>
    <row r="37" spans="1:6" ht="12.75">
      <c r="A37" s="707"/>
      <c r="B37" s="708"/>
      <c r="C37" s="695"/>
      <c r="D37" s="695"/>
      <c r="E37" s="868"/>
      <c r="F37" s="696"/>
    </row>
    <row r="38" spans="1:6" ht="76.5">
      <c r="A38" s="707" t="s">
        <v>1366</v>
      </c>
      <c r="B38" s="708" t="s">
        <v>1367</v>
      </c>
      <c r="C38" s="695"/>
      <c r="D38" s="695"/>
      <c r="E38" s="868"/>
      <c r="F38" s="696"/>
    </row>
    <row r="39" spans="1:6" ht="12.75">
      <c r="A39" s="707"/>
      <c r="B39" s="708"/>
      <c r="C39" s="695"/>
      <c r="D39" s="695"/>
      <c r="E39" s="868"/>
      <c r="F39" s="696"/>
    </row>
    <row r="40" spans="1:6" ht="25.5">
      <c r="A40" s="707" t="s">
        <v>1368</v>
      </c>
      <c r="B40" s="708" t="s">
        <v>1369</v>
      </c>
      <c r="C40" s="695"/>
      <c r="D40" s="695"/>
      <c r="E40" s="868"/>
      <c r="F40" s="696"/>
    </row>
    <row r="41" spans="1:6" ht="12.75">
      <c r="A41" s="707"/>
      <c r="B41" s="706"/>
      <c r="C41" s="695"/>
      <c r="D41" s="695"/>
      <c r="E41" s="868"/>
      <c r="F41" s="696"/>
    </row>
    <row r="42" spans="1:6" ht="51">
      <c r="A42" s="707" t="s">
        <v>1370</v>
      </c>
      <c r="B42" s="708" t="s">
        <v>1371</v>
      </c>
      <c r="C42" s="695"/>
      <c r="D42" s="695"/>
      <c r="E42" s="868"/>
      <c r="F42" s="696"/>
    </row>
    <row r="43" spans="1:6" ht="12.75">
      <c r="A43" s="707"/>
      <c r="B43" s="697"/>
      <c r="C43" s="695"/>
      <c r="D43" s="695"/>
      <c r="E43" s="868"/>
      <c r="F43" s="696"/>
    </row>
    <row r="44" spans="1:6" ht="12.75">
      <c r="A44" s="682"/>
      <c r="B44" s="694"/>
      <c r="C44" s="695"/>
      <c r="D44" s="695"/>
      <c r="E44" s="868"/>
      <c r="F44" s="696"/>
    </row>
    <row r="45" spans="1:6" s="659" customFormat="1" ht="12.75">
      <c r="A45" s="709" t="s">
        <v>1338</v>
      </c>
      <c r="B45" s="710" t="s">
        <v>515</v>
      </c>
      <c r="C45" s="711"/>
      <c r="D45" s="674"/>
      <c r="E45" s="869"/>
      <c r="F45" s="712">
        <f>SUBTOTAL(9,F49:F53)</f>
        <v>0</v>
      </c>
    </row>
    <row r="46" spans="1:6" ht="12.75">
      <c r="A46" s="709"/>
      <c r="B46" s="710" t="s">
        <v>2209</v>
      </c>
      <c r="C46" s="711"/>
      <c r="D46" s="674"/>
      <c r="E46" s="869"/>
      <c r="F46" s="713"/>
    </row>
    <row r="47" spans="1:6" ht="12.75">
      <c r="A47" s="716"/>
      <c r="B47" s="717" t="s">
        <v>1377</v>
      </c>
      <c r="C47" s="718" t="s">
        <v>1378</v>
      </c>
      <c r="D47" s="718" t="s">
        <v>1379</v>
      </c>
      <c r="E47" s="870" t="s">
        <v>1380</v>
      </c>
      <c r="F47" s="718" t="s">
        <v>1337</v>
      </c>
    </row>
    <row r="48" spans="1:6" ht="12.75">
      <c r="A48" s="716"/>
      <c r="B48" s="719"/>
      <c r="C48" s="713"/>
      <c r="D48" s="713"/>
      <c r="E48" s="869"/>
      <c r="F48" s="713"/>
    </row>
    <row r="49" spans="1:6" ht="25.5">
      <c r="A49" s="720">
        <f>MAX($A$2:$A48)+1</f>
        <v>1</v>
      </c>
      <c r="B49" s="719" t="s">
        <v>2210</v>
      </c>
      <c r="C49" s="721" t="s">
        <v>650</v>
      </c>
      <c r="D49" s="721">
        <v>10</v>
      </c>
      <c r="E49" s="722"/>
      <c r="F49" s="723">
        <f>+E49*D49</f>
        <v>0</v>
      </c>
    </row>
    <row r="50" spans="1:6" ht="12.75">
      <c r="A50" s="720"/>
      <c r="B50" s="719"/>
      <c r="C50" s="721"/>
      <c r="D50" s="721"/>
      <c r="E50" s="871"/>
      <c r="F50" s="723"/>
    </row>
    <row r="51" spans="1:6" ht="63.75">
      <c r="A51" s="720">
        <f>MAX($A$2:$A50)+1</f>
        <v>2</v>
      </c>
      <c r="B51" s="719" t="s">
        <v>2237</v>
      </c>
      <c r="C51" s="721" t="s">
        <v>650</v>
      </c>
      <c r="D51" s="721">
        <v>10</v>
      </c>
      <c r="E51" s="722"/>
      <c r="F51" s="723">
        <f>+E51*D51</f>
        <v>0</v>
      </c>
    </row>
    <row r="52" spans="1:6" ht="12.75">
      <c r="A52" s="716"/>
      <c r="B52" s="719"/>
      <c r="C52" s="721"/>
      <c r="D52" s="721"/>
      <c r="E52" s="871"/>
      <c r="F52" s="721"/>
    </row>
    <row r="53" spans="1:6" ht="12.75">
      <c r="A53" s="720">
        <f>MAX($A$2:$A52)+1</f>
        <v>3</v>
      </c>
      <c r="B53" s="725" t="s">
        <v>1387</v>
      </c>
      <c r="C53" s="721" t="s">
        <v>1388</v>
      </c>
      <c r="D53" s="721">
        <v>5</v>
      </c>
      <c r="E53" s="871"/>
      <c r="F53" s="723">
        <f>SUM(F49:F52)*D53%</f>
        <v>0</v>
      </c>
    </row>
    <row r="54" spans="1:6" ht="12.75">
      <c r="A54" s="682"/>
      <c r="B54" s="697"/>
      <c r="C54" s="695"/>
      <c r="D54" s="695"/>
      <c r="E54" s="868"/>
      <c r="F54" s="696"/>
    </row>
    <row r="55" spans="1:6" ht="12.75">
      <c r="A55" s="709" t="s">
        <v>716</v>
      </c>
      <c r="B55" s="726" t="s">
        <v>2211</v>
      </c>
      <c r="C55" s="711"/>
      <c r="D55" s="674"/>
      <c r="E55" s="869"/>
      <c r="F55" s="712">
        <f>SUBTOTAL(9,F60:F106)</f>
        <v>0</v>
      </c>
    </row>
    <row r="56" spans="1:6" ht="12.75">
      <c r="A56" s="709"/>
      <c r="B56" s="710" t="s">
        <v>2209</v>
      </c>
      <c r="C56" s="711"/>
      <c r="D56" s="674"/>
      <c r="E56" s="750"/>
      <c r="F56" s="727"/>
    </row>
    <row r="57" spans="1:6" ht="12.75">
      <c r="A57" s="714"/>
      <c r="B57" s="715"/>
      <c r="C57" s="713"/>
      <c r="D57" s="713"/>
      <c r="E57" s="869"/>
      <c r="F57" s="713"/>
    </row>
    <row r="58" spans="1:6" ht="12.75">
      <c r="A58" s="716"/>
      <c r="B58" s="717" t="s">
        <v>1377</v>
      </c>
      <c r="C58" s="718" t="s">
        <v>1378</v>
      </c>
      <c r="D58" s="718" t="s">
        <v>1379</v>
      </c>
      <c r="E58" s="870" t="s">
        <v>1380</v>
      </c>
      <c r="F58" s="718" t="s">
        <v>1337</v>
      </c>
    </row>
    <row r="59" spans="1:6" ht="12.75">
      <c r="A59" s="716"/>
      <c r="B59" s="728"/>
      <c r="C59" s="713"/>
      <c r="D59" s="713"/>
      <c r="E59" s="869"/>
      <c r="F59" s="713"/>
    </row>
    <row r="60" spans="1:6" ht="38.25">
      <c r="A60" s="720">
        <f>MAX($A$2:$A59)+1</f>
        <v>4</v>
      </c>
      <c r="B60" s="660" t="s">
        <v>2212</v>
      </c>
      <c r="C60" s="729" t="s">
        <v>650</v>
      </c>
      <c r="D60" s="729">
        <v>25</v>
      </c>
      <c r="E60" s="722"/>
      <c r="F60" s="730">
        <f>+D60*E60</f>
        <v>0</v>
      </c>
    </row>
    <row r="61" spans="1:6" ht="12.75">
      <c r="A61" s="716"/>
      <c r="B61" s="660"/>
      <c r="C61" s="729"/>
      <c r="D61" s="729"/>
      <c r="E61" s="751"/>
      <c r="F61" s="731"/>
    </row>
    <row r="62" spans="1:6" ht="14.25">
      <c r="A62" s="720">
        <f>MAX($A$2:$A61)+1</f>
        <v>5</v>
      </c>
      <c r="B62" s="732" t="s">
        <v>2213</v>
      </c>
      <c r="C62" s="729" t="s">
        <v>520</v>
      </c>
      <c r="D62" s="729">
        <v>8</v>
      </c>
      <c r="E62" s="722"/>
      <c r="F62" s="730">
        <f>+D62*E62</f>
        <v>0</v>
      </c>
    </row>
    <row r="63" spans="1:6" ht="12.75">
      <c r="A63" s="733"/>
      <c r="B63" s="660"/>
      <c r="C63" s="729"/>
      <c r="D63" s="729"/>
      <c r="E63" s="751"/>
      <c r="F63" s="730"/>
    </row>
    <row r="64" spans="1:6" ht="39.75">
      <c r="A64" s="733">
        <f>MAX($A$3:$A62)+1</f>
        <v>6</v>
      </c>
      <c r="B64" s="660" t="s">
        <v>2238</v>
      </c>
      <c r="C64" s="729" t="s">
        <v>748</v>
      </c>
      <c r="D64" s="729">
        <v>2</v>
      </c>
      <c r="E64" s="722"/>
      <c r="F64" s="730">
        <f>+D64*E64</f>
        <v>0</v>
      </c>
    </row>
    <row r="65" spans="1:6" ht="12.75">
      <c r="A65" s="716"/>
      <c r="B65" s="660"/>
      <c r="C65" s="729"/>
      <c r="D65" s="729"/>
      <c r="E65" s="751"/>
      <c r="F65" s="731"/>
    </row>
    <row r="66" spans="1:6" ht="25.5">
      <c r="A66" s="720">
        <f>MAX($A$2:$A65)+1</f>
        <v>7</v>
      </c>
      <c r="B66" s="660" t="s">
        <v>2214</v>
      </c>
      <c r="C66" s="729"/>
      <c r="D66" s="729"/>
      <c r="E66" s="751"/>
      <c r="F66" s="731"/>
    </row>
    <row r="67" spans="1:6" ht="38.25">
      <c r="A67" s="734"/>
      <c r="B67" s="660" t="s">
        <v>2239</v>
      </c>
      <c r="C67" s="729" t="s">
        <v>748</v>
      </c>
      <c r="D67" s="729">
        <v>1</v>
      </c>
      <c r="E67" s="722"/>
      <c r="F67" s="730">
        <f>+D67*E67</f>
        <v>0</v>
      </c>
    </row>
    <row r="68" spans="1:6" ht="12.75">
      <c r="A68" s="716" t="s">
        <v>1381</v>
      </c>
      <c r="B68" s="660" t="s">
        <v>2240</v>
      </c>
      <c r="C68" s="729" t="s">
        <v>748</v>
      </c>
      <c r="D68" s="729">
        <v>2</v>
      </c>
      <c r="E68" s="722"/>
      <c r="F68" s="730">
        <f aca="true" t="shared" si="0" ref="F68:F86">+D68*E68</f>
        <v>0</v>
      </c>
    </row>
    <row r="69" spans="1:6" ht="12.75">
      <c r="A69" s="716" t="s">
        <v>1381</v>
      </c>
      <c r="B69" s="660" t="s">
        <v>2241</v>
      </c>
      <c r="C69" s="729" t="s">
        <v>748</v>
      </c>
      <c r="D69" s="729">
        <v>2</v>
      </c>
      <c r="E69" s="722"/>
      <c r="F69" s="730">
        <f t="shared" si="0"/>
        <v>0</v>
      </c>
    </row>
    <row r="70" spans="1:6" ht="12.75">
      <c r="A70" s="716" t="s">
        <v>1381</v>
      </c>
      <c r="B70" s="660" t="s">
        <v>2242</v>
      </c>
      <c r="C70" s="729" t="s">
        <v>748</v>
      </c>
      <c r="D70" s="729">
        <v>2</v>
      </c>
      <c r="E70" s="722"/>
      <c r="F70" s="730">
        <f t="shared" si="0"/>
        <v>0</v>
      </c>
    </row>
    <row r="71" spans="1:6" ht="12.75">
      <c r="A71" s="716" t="s">
        <v>1381</v>
      </c>
      <c r="B71" s="660" t="s">
        <v>2243</v>
      </c>
      <c r="C71" s="729" t="s">
        <v>748</v>
      </c>
      <c r="D71" s="729">
        <v>4</v>
      </c>
      <c r="E71" s="722"/>
      <c r="F71" s="730">
        <f t="shared" si="0"/>
        <v>0</v>
      </c>
    </row>
    <row r="72" spans="1:6" ht="12.75">
      <c r="A72" s="716" t="s">
        <v>1381</v>
      </c>
      <c r="B72" s="660" t="s">
        <v>2244</v>
      </c>
      <c r="C72" s="729" t="s">
        <v>520</v>
      </c>
      <c r="D72" s="729">
        <v>4</v>
      </c>
      <c r="E72" s="722"/>
      <c r="F72" s="730">
        <f t="shared" si="0"/>
        <v>0</v>
      </c>
    </row>
    <row r="73" spans="1:6" ht="12.75">
      <c r="A73" s="716" t="s">
        <v>1381</v>
      </c>
      <c r="B73" s="660" t="s">
        <v>2245</v>
      </c>
      <c r="C73" s="729" t="s">
        <v>520</v>
      </c>
      <c r="D73" s="729">
        <v>4</v>
      </c>
      <c r="E73" s="722"/>
      <c r="F73" s="730">
        <f t="shared" si="0"/>
        <v>0</v>
      </c>
    </row>
    <row r="74" spans="1:6" ht="12.75">
      <c r="A74" s="716" t="s">
        <v>1381</v>
      </c>
      <c r="B74" s="660" t="s">
        <v>2246</v>
      </c>
      <c r="C74" s="729" t="s">
        <v>520</v>
      </c>
      <c r="D74" s="729">
        <v>27</v>
      </c>
      <c r="E74" s="722"/>
      <c r="F74" s="730">
        <f t="shared" si="0"/>
        <v>0</v>
      </c>
    </row>
    <row r="75" spans="1:6" ht="12.75">
      <c r="A75" s="716" t="s">
        <v>1381</v>
      </c>
      <c r="B75" s="660" t="s">
        <v>2247</v>
      </c>
      <c r="C75" s="729" t="s">
        <v>520</v>
      </c>
      <c r="D75" s="729">
        <v>27</v>
      </c>
      <c r="E75" s="722"/>
      <c r="F75" s="730">
        <f t="shared" si="0"/>
        <v>0</v>
      </c>
    </row>
    <row r="76" spans="1:6" ht="12.75">
      <c r="A76" s="716" t="s">
        <v>1381</v>
      </c>
      <c r="B76" s="660" t="s">
        <v>2248</v>
      </c>
      <c r="C76" s="729" t="s">
        <v>520</v>
      </c>
      <c r="D76" s="729">
        <v>12</v>
      </c>
      <c r="E76" s="722"/>
      <c r="F76" s="730">
        <f t="shared" si="0"/>
        <v>0</v>
      </c>
    </row>
    <row r="77" spans="1:6" ht="12.75">
      <c r="A77" s="716" t="s">
        <v>1381</v>
      </c>
      <c r="B77" s="660" t="s">
        <v>2249</v>
      </c>
      <c r="C77" s="729" t="s">
        <v>748</v>
      </c>
      <c r="D77" s="729">
        <v>7</v>
      </c>
      <c r="E77" s="722"/>
      <c r="F77" s="730">
        <f t="shared" si="0"/>
        <v>0</v>
      </c>
    </row>
    <row r="78" spans="1:6" ht="25.5">
      <c r="A78" s="716" t="s">
        <v>1381</v>
      </c>
      <c r="B78" s="735" t="s">
        <v>2250</v>
      </c>
      <c r="C78" s="729" t="s">
        <v>520</v>
      </c>
      <c r="D78" s="729">
        <v>1</v>
      </c>
      <c r="E78" s="722"/>
      <c r="F78" s="730">
        <f t="shared" si="0"/>
        <v>0</v>
      </c>
    </row>
    <row r="79" spans="1:6" ht="25.5">
      <c r="A79" s="716" t="s">
        <v>1381</v>
      </c>
      <c r="B79" s="735" t="s">
        <v>2251</v>
      </c>
      <c r="C79" s="729" t="s">
        <v>520</v>
      </c>
      <c r="D79" s="729">
        <v>1</v>
      </c>
      <c r="E79" s="722"/>
      <c r="F79" s="730">
        <f t="shared" si="0"/>
        <v>0</v>
      </c>
    </row>
    <row r="80" spans="1:6" ht="12.75">
      <c r="A80" s="716" t="s">
        <v>1381</v>
      </c>
      <c r="B80" s="736" t="s">
        <v>2252</v>
      </c>
      <c r="C80" s="729" t="s">
        <v>520</v>
      </c>
      <c r="D80" s="729">
        <v>27</v>
      </c>
      <c r="E80" s="722"/>
      <c r="F80" s="730">
        <f t="shared" si="0"/>
        <v>0</v>
      </c>
    </row>
    <row r="81" spans="1:6" ht="12.75">
      <c r="A81" s="716" t="s">
        <v>1381</v>
      </c>
      <c r="B81" s="736" t="s">
        <v>2253</v>
      </c>
      <c r="C81" s="729" t="s">
        <v>520</v>
      </c>
      <c r="D81" s="729">
        <v>26</v>
      </c>
      <c r="E81" s="722"/>
      <c r="F81" s="730">
        <f t="shared" si="0"/>
        <v>0</v>
      </c>
    </row>
    <row r="82" spans="1:6" ht="12.75">
      <c r="A82" s="716" t="s">
        <v>1381</v>
      </c>
      <c r="B82" s="736" t="s">
        <v>2254</v>
      </c>
      <c r="C82" s="729" t="s">
        <v>520</v>
      </c>
      <c r="D82" s="729">
        <v>1</v>
      </c>
      <c r="E82" s="722"/>
      <c r="F82" s="730">
        <f>+D82*E82</f>
        <v>0</v>
      </c>
    </row>
    <row r="83" spans="1:6" ht="12.75">
      <c r="A83" s="716" t="s">
        <v>1381</v>
      </c>
      <c r="B83" s="736" t="s">
        <v>2255</v>
      </c>
      <c r="C83" s="729" t="s">
        <v>520</v>
      </c>
      <c r="D83" s="729">
        <v>3</v>
      </c>
      <c r="E83" s="722"/>
      <c r="F83" s="730">
        <f t="shared" si="0"/>
        <v>0</v>
      </c>
    </row>
    <row r="84" spans="1:6" ht="12.75">
      <c r="A84" s="716" t="s">
        <v>1381</v>
      </c>
      <c r="B84" s="736" t="s">
        <v>2256</v>
      </c>
      <c r="C84" s="729" t="s">
        <v>520</v>
      </c>
      <c r="D84" s="729">
        <v>10</v>
      </c>
      <c r="E84" s="722"/>
      <c r="F84" s="730">
        <f t="shared" si="0"/>
        <v>0</v>
      </c>
    </row>
    <row r="85" spans="1:6" ht="12.75">
      <c r="A85" s="716" t="s">
        <v>1381</v>
      </c>
      <c r="B85" s="736" t="s">
        <v>2257</v>
      </c>
      <c r="C85" s="729" t="s">
        <v>520</v>
      </c>
      <c r="D85" s="729">
        <v>4</v>
      </c>
      <c r="E85" s="722"/>
      <c r="F85" s="730">
        <f t="shared" si="0"/>
        <v>0</v>
      </c>
    </row>
    <row r="86" spans="1:6" ht="51">
      <c r="A86" s="716" t="s">
        <v>1381</v>
      </c>
      <c r="B86" s="735" t="s">
        <v>2258</v>
      </c>
      <c r="C86" s="729" t="s">
        <v>520</v>
      </c>
      <c r="D86" s="729">
        <v>24</v>
      </c>
      <c r="E86" s="722"/>
      <c r="F86" s="730">
        <f t="shared" si="0"/>
        <v>0</v>
      </c>
    </row>
    <row r="87" spans="1:6" ht="51">
      <c r="A87" s="716" t="s">
        <v>1381</v>
      </c>
      <c r="B87" s="735" t="s">
        <v>2259</v>
      </c>
      <c r="C87" s="729" t="s">
        <v>520</v>
      </c>
      <c r="D87" s="729">
        <v>1</v>
      </c>
      <c r="E87" s="722"/>
      <c r="F87" s="730">
        <f>+D87*E87</f>
        <v>0</v>
      </c>
    </row>
    <row r="88" spans="1:6" ht="12.75">
      <c r="A88" s="716"/>
      <c r="B88" s="737"/>
      <c r="C88" s="729"/>
      <c r="D88" s="729"/>
      <c r="E88" s="738"/>
      <c r="F88" s="723"/>
    </row>
    <row r="89" spans="1:6" ht="38.25">
      <c r="A89" s="720">
        <f>MAX($A$2:$A88)+1</f>
        <v>8</v>
      </c>
      <c r="B89" s="660" t="s">
        <v>2260</v>
      </c>
      <c r="C89" s="729" t="s">
        <v>748</v>
      </c>
      <c r="D89" s="729">
        <v>1</v>
      </c>
      <c r="E89" s="722"/>
      <c r="F89" s="730">
        <f>+D89*E89</f>
        <v>0</v>
      </c>
    </row>
    <row r="90" spans="1:6" ht="12.75">
      <c r="A90" s="720"/>
      <c r="B90" s="660"/>
      <c r="C90" s="729"/>
      <c r="D90" s="729"/>
      <c r="E90" s="738"/>
      <c r="F90" s="730"/>
    </row>
    <row r="91" spans="1:6" ht="12.75">
      <c r="A91" s="720">
        <f>MAX($A$2:$A90)+1</f>
        <v>9</v>
      </c>
      <c r="B91" s="660" t="s">
        <v>2261</v>
      </c>
      <c r="C91" s="729" t="s">
        <v>520</v>
      </c>
      <c r="D91" s="729">
        <v>1</v>
      </c>
      <c r="E91" s="722"/>
      <c r="F91" s="730">
        <f>+D91*E91</f>
        <v>0</v>
      </c>
    </row>
    <row r="92" spans="1:6" ht="12.75">
      <c r="A92" s="720"/>
      <c r="B92" s="660"/>
      <c r="C92" s="729"/>
      <c r="D92" s="729"/>
      <c r="E92" s="738"/>
      <c r="F92" s="730"/>
    </row>
    <row r="93" spans="1:6" ht="51">
      <c r="A93" s="720">
        <f>MAX($A$2:$A92)+1</f>
        <v>10</v>
      </c>
      <c r="B93" s="660" t="s">
        <v>2262</v>
      </c>
      <c r="C93" s="729" t="s">
        <v>748</v>
      </c>
      <c r="D93" s="729">
        <v>1</v>
      </c>
      <c r="E93" s="722"/>
      <c r="F93" s="730">
        <f>+D93*E93</f>
        <v>0</v>
      </c>
    </row>
    <row r="94" spans="1:6" ht="12.75">
      <c r="A94" s="716"/>
      <c r="B94" s="737"/>
      <c r="C94" s="729"/>
      <c r="D94" s="729"/>
      <c r="E94" s="738"/>
      <c r="F94" s="723"/>
    </row>
    <row r="95" spans="1:6" ht="25.5">
      <c r="A95" s="720">
        <f>MAX($A$2:$A94)+1</f>
        <v>11</v>
      </c>
      <c r="B95" s="660" t="s">
        <v>2215</v>
      </c>
      <c r="C95" s="729" t="s">
        <v>748</v>
      </c>
      <c r="D95" s="729">
        <v>2</v>
      </c>
      <c r="E95" s="722"/>
      <c r="F95" s="730">
        <f>+D95*E95</f>
        <v>0</v>
      </c>
    </row>
    <row r="96" spans="1:6" ht="12.75">
      <c r="A96" s="716"/>
      <c r="B96" s="737"/>
      <c r="C96" s="729"/>
      <c r="D96" s="729"/>
      <c r="E96" s="738"/>
      <c r="F96" s="723"/>
    </row>
    <row r="97" spans="1:6" ht="25.5">
      <c r="A97" s="720">
        <f>MAX($A$2:$A96)+1</f>
        <v>12</v>
      </c>
      <c r="B97" s="736" t="s">
        <v>2263</v>
      </c>
      <c r="C97" s="729" t="s">
        <v>520</v>
      </c>
      <c r="D97" s="729">
        <v>2</v>
      </c>
      <c r="E97" s="722"/>
      <c r="F97" s="730">
        <f>+D97*E97</f>
        <v>0</v>
      </c>
    </row>
    <row r="98" spans="1:6" ht="12.75">
      <c r="A98" s="716"/>
      <c r="B98" s="737"/>
      <c r="C98" s="729"/>
      <c r="D98" s="729"/>
      <c r="E98" s="738"/>
      <c r="F98" s="723"/>
    </row>
    <row r="99" spans="1:6" ht="12.75">
      <c r="A99" s="720">
        <f>MAX($A$2:$A98)+1</f>
        <v>13</v>
      </c>
      <c r="B99" s="660" t="s">
        <v>2216</v>
      </c>
      <c r="C99" s="729" t="s">
        <v>650</v>
      </c>
      <c r="D99" s="729">
        <v>25</v>
      </c>
      <c r="E99" s="722"/>
      <c r="F99" s="730">
        <f>+D99*E99</f>
        <v>0</v>
      </c>
    </row>
    <row r="100" spans="1:6" ht="12.75">
      <c r="A100" s="716"/>
      <c r="B100" s="660"/>
      <c r="C100" s="729"/>
      <c r="D100" s="729"/>
      <c r="E100" s="751"/>
      <c r="F100" s="731"/>
    </row>
    <row r="101" spans="1:6" ht="12.75">
      <c r="A101" s="720">
        <f>MAX($A$2:$A100)+1</f>
        <v>14</v>
      </c>
      <c r="B101" s="660" t="s">
        <v>2217</v>
      </c>
      <c r="C101" s="729" t="s">
        <v>520</v>
      </c>
      <c r="D101" s="729">
        <v>10</v>
      </c>
      <c r="E101" s="722"/>
      <c r="F101" s="730">
        <f>+D101*E101</f>
        <v>0</v>
      </c>
    </row>
    <row r="102" spans="1:6" ht="12.75">
      <c r="A102" s="716"/>
      <c r="B102" s="660"/>
      <c r="C102" s="729"/>
      <c r="D102" s="729"/>
      <c r="E102" s="751"/>
      <c r="F102" s="731"/>
    </row>
    <row r="103" spans="1:6" ht="12.75">
      <c r="A103" s="720">
        <f>MAX($A$2:$A102)+1</f>
        <v>15</v>
      </c>
      <c r="B103" s="660" t="s">
        <v>2218</v>
      </c>
      <c r="C103" s="729" t="s">
        <v>748</v>
      </c>
      <c r="D103" s="729">
        <v>1</v>
      </c>
      <c r="E103" s="722"/>
      <c r="F103" s="730">
        <f>+D103*E103</f>
        <v>0</v>
      </c>
    </row>
    <row r="104" spans="1:6" ht="12.75">
      <c r="A104" s="716"/>
      <c r="B104" s="660"/>
      <c r="C104" s="729"/>
      <c r="D104" s="729"/>
      <c r="E104" s="751"/>
      <c r="F104" s="731"/>
    </row>
    <row r="105" spans="1:6" ht="12.75">
      <c r="A105" s="720">
        <f>MAX($A$2:$A104)+1</f>
        <v>16</v>
      </c>
      <c r="B105" s="660" t="s">
        <v>1387</v>
      </c>
      <c r="C105" s="729" t="s">
        <v>1388</v>
      </c>
      <c r="D105" s="729">
        <v>5</v>
      </c>
      <c r="E105" s="872"/>
      <c r="F105" s="730">
        <f>SUM(F60:F104)*D105%</f>
        <v>0</v>
      </c>
    </row>
    <row r="106" spans="1:6" ht="12.75">
      <c r="A106" s="682"/>
      <c r="B106" s="697"/>
      <c r="C106" s="695"/>
      <c r="D106" s="695"/>
      <c r="E106" s="868"/>
      <c r="F106" s="696"/>
    </row>
    <row r="107" spans="1:6" ht="12.75">
      <c r="A107" s="709" t="s">
        <v>1127</v>
      </c>
      <c r="B107" s="726" t="s">
        <v>2219</v>
      </c>
      <c r="C107" s="711"/>
      <c r="D107" s="674"/>
      <c r="E107" s="869"/>
      <c r="F107" s="712">
        <f>SUM(F110:F121)</f>
        <v>0</v>
      </c>
    </row>
    <row r="108" spans="1:6" ht="12.75">
      <c r="A108" s="714"/>
      <c r="B108" s="715"/>
      <c r="C108" s="713"/>
      <c r="D108" s="713"/>
      <c r="E108" s="869"/>
      <c r="F108" s="713"/>
    </row>
    <row r="109" spans="1:6" ht="12.75">
      <c r="A109" s="716"/>
      <c r="B109" s="717" t="s">
        <v>1377</v>
      </c>
      <c r="C109" s="718" t="s">
        <v>1378</v>
      </c>
      <c r="D109" s="718" t="s">
        <v>1379</v>
      </c>
      <c r="E109" s="870" t="s">
        <v>1380</v>
      </c>
      <c r="F109" s="718" t="s">
        <v>1337</v>
      </c>
    </row>
    <row r="110" spans="1:6" ht="12.75">
      <c r="A110" s="716"/>
      <c r="B110" s="728"/>
      <c r="C110" s="713"/>
      <c r="D110" s="713"/>
      <c r="E110" s="869"/>
      <c r="F110" s="713"/>
    </row>
    <row r="111" spans="1:6" ht="12.75">
      <c r="A111" s="720">
        <f>MAX($A$2:$A110)+1</f>
        <v>17</v>
      </c>
      <c r="B111" s="660" t="s">
        <v>2220</v>
      </c>
      <c r="C111" s="729" t="s">
        <v>748</v>
      </c>
      <c r="D111" s="729">
        <v>1</v>
      </c>
      <c r="E111" s="722"/>
      <c r="F111" s="723">
        <f>+E111*D111</f>
        <v>0</v>
      </c>
    </row>
    <row r="112" spans="1:6" ht="12.75">
      <c r="A112" s="716"/>
      <c r="B112" s="728"/>
      <c r="C112" s="713"/>
      <c r="D112" s="713"/>
      <c r="E112" s="869"/>
      <c r="F112" s="713"/>
    </row>
    <row r="113" spans="1:6" ht="12.75">
      <c r="A113" s="720">
        <f>MAX($A$2:$A112)+1</f>
        <v>18</v>
      </c>
      <c r="B113" s="660" t="s">
        <v>2221</v>
      </c>
      <c r="C113" s="729" t="s">
        <v>748</v>
      </c>
      <c r="D113" s="729">
        <v>1</v>
      </c>
      <c r="E113" s="722"/>
      <c r="F113" s="723">
        <f>+E113*D113</f>
        <v>0</v>
      </c>
    </row>
    <row r="114" spans="1:6" ht="12.75">
      <c r="A114" s="720"/>
      <c r="B114" s="660"/>
      <c r="C114" s="729"/>
      <c r="D114" s="729"/>
      <c r="E114" s="738"/>
      <c r="F114" s="723"/>
    </row>
    <row r="115" spans="1:6" ht="38.25">
      <c r="A115" s="720">
        <f>MAX($A$2:$A114)+1</f>
        <v>19</v>
      </c>
      <c r="B115" s="660" t="s">
        <v>2222</v>
      </c>
      <c r="C115" s="729" t="s">
        <v>520</v>
      </c>
      <c r="D115" s="729">
        <v>1</v>
      </c>
      <c r="E115" s="722"/>
      <c r="F115" s="723">
        <f>+D115*E115</f>
        <v>0</v>
      </c>
    </row>
    <row r="116" spans="1:6" ht="12.75">
      <c r="A116" s="716"/>
      <c r="B116" s="728"/>
      <c r="C116" s="713"/>
      <c r="D116" s="713"/>
      <c r="E116" s="869"/>
      <c r="F116" s="713"/>
    </row>
    <row r="117" spans="1:6" ht="25.5">
      <c r="A117" s="720">
        <f>MAX($A$2:$A116)+1</f>
        <v>20</v>
      </c>
      <c r="B117" s="739" t="s">
        <v>2223</v>
      </c>
      <c r="C117" s="740" t="s">
        <v>748</v>
      </c>
      <c r="D117" s="740">
        <v>1</v>
      </c>
      <c r="E117" s="722"/>
      <c r="F117" s="723">
        <f>+E117*D117</f>
        <v>0</v>
      </c>
    </row>
    <row r="118" spans="1:6" ht="12.75">
      <c r="A118" s="733"/>
      <c r="B118" s="739"/>
      <c r="C118" s="740"/>
      <c r="D118" s="740"/>
      <c r="E118" s="869"/>
      <c r="F118" s="723"/>
    </row>
    <row r="119" spans="1:6" ht="12.75">
      <c r="A119" s="720">
        <f>MAX($A$2:$A118)+1</f>
        <v>21</v>
      </c>
      <c r="B119" s="739" t="s">
        <v>2224</v>
      </c>
      <c r="C119" s="740" t="s">
        <v>520</v>
      </c>
      <c r="D119" s="740">
        <v>1</v>
      </c>
      <c r="E119" s="722"/>
      <c r="F119" s="723">
        <f>+E119*D119</f>
        <v>0</v>
      </c>
    </row>
    <row r="120" spans="1:6" ht="12.75">
      <c r="A120" s="741"/>
      <c r="B120" s="726"/>
      <c r="C120" s="740"/>
      <c r="D120" s="740"/>
      <c r="E120" s="871"/>
      <c r="F120" s="724"/>
    </row>
    <row r="121" spans="1:6" ht="12.75">
      <c r="A121" s="720">
        <f>MAX($A$2:$A120)+1</f>
        <v>22</v>
      </c>
      <c r="B121" s="661" t="s">
        <v>2225</v>
      </c>
      <c r="C121" s="740" t="s">
        <v>748</v>
      </c>
      <c r="D121" s="740">
        <v>1</v>
      </c>
      <c r="E121" s="722"/>
      <c r="F121" s="723">
        <f>+E121*D121</f>
        <v>0</v>
      </c>
    </row>
    <row r="122" spans="1:6" ht="12.75">
      <c r="A122" s="742"/>
      <c r="B122" s="743"/>
      <c r="C122" s="744"/>
      <c r="D122" s="744"/>
      <c r="E122" s="873"/>
      <c r="F122" s="724"/>
    </row>
  </sheetData>
  <sheetProtection password="EE55" sheet="1" selectLockedCells="1"/>
  <printOptions/>
  <pageMargins left="0.35433070866141736" right="0.11811023622047245" top="0.4330708661417323" bottom="0.35433070866141736" header="0.15748031496062992" footer="0.11811023622047245"/>
  <pageSetup horizontalDpi="600" verticalDpi="600" orientation="portrait" paperSize="9" r:id="rId1"/>
  <headerFooter>
    <oddHeader>&amp;L&amp;D&amp;R&amp;"Arial,Krepko"&amp;8BIRO APIS d.o.o.;Zemljemerska ul.10; 1000 Ljubljana</oddHeader>
    <oddFooter>&amp;L&amp;"Arial,Krepko"&amp;8&amp;F&amp;R&amp;P/&amp;N</oddFooter>
  </headerFooter>
</worksheet>
</file>

<file path=xl/worksheets/sheet5.xml><?xml version="1.0" encoding="utf-8"?>
<worksheet xmlns="http://schemas.openxmlformats.org/spreadsheetml/2006/main" xmlns:r="http://schemas.openxmlformats.org/officeDocument/2006/relationships">
  <sheetPr>
    <tabColor theme="2" tint="-0.4999699890613556"/>
  </sheetPr>
  <dimension ref="A1:F930"/>
  <sheetViews>
    <sheetView tabSelected="1" view="pageBreakPreview" zoomScaleSheetLayoutView="100" zoomScalePageLayoutView="0" workbookViewId="0" topLeftCell="A94">
      <selection activeCell="E39" sqref="E39"/>
    </sheetView>
  </sheetViews>
  <sheetFormatPr defaultColWidth="9.140625" defaultRowHeight="12.75"/>
  <cols>
    <col min="1" max="1" width="6.140625" style="904" customWidth="1"/>
    <col min="2" max="2" width="58.57421875" style="746" customWidth="1"/>
    <col min="3" max="3" width="4.28125" style="747" customWidth="1"/>
    <col min="4" max="4" width="8.28125" style="748" customWidth="1"/>
    <col min="5" max="5" width="9.8515625" style="875" customWidth="1"/>
    <col min="6" max="6" width="14.28125" style="903" customWidth="1"/>
    <col min="7" max="16384" width="9.140625" style="746" customWidth="1"/>
  </cols>
  <sheetData>
    <row r="1" spans="1:6" ht="12.75">
      <c r="A1" s="907"/>
      <c r="B1" s="908" t="s">
        <v>2265</v>
      </c>
      <c r="C1" s="909"/>
      <c r="D1" s="909"/>
      <c r="E1" s="1140"/>
      <c r="F1" s="910" t="s">
        <v>1337</v>
      </c>
    </row>
    <row r="2" spans="1:6" ht="12.75">
      <c r="A2" s="911"/>
      <c r="B2" s="912"/>
      <c r="C2" s="913"/>
      <c r="D2" s="913"/>
      <c r="E2" s="1141"/>
      <c r="F2" s="914"/>
    </row>
    <row r="3" spans="1:6" ht="12.75">
      <c r="A3" s="915" t="s">
        <v>1338</v>
      </c>
      <c r="B3" s="916" t="str">
        <f>B60</f>
        <v>OGREVANJE </v>
      </c>
      <c r="C3" s="917"/>
      <c r="D3" s="917"/>
      <c r="E3" s="1142"/>
      <c r="F3" s="918">
        <f>F60</f>
        <v>0</v>
      </c>
    </row>
    <row r="4" spans="1:6" ht="12.75">
      <c r="A4" s="915" t="s">
        <v>716</v>
      </c>
      <c r="B4" s="919" t="s">
        <v>1660</v>
      </c>
      <c r="C4" s="917"/>
      <c r="D4" s="917"/>
      <c r="E4" s="1142"/>
      <c r="F4" s="918">
        <f>F373</f>
        <v>0</v>
      </c>
    </row>
    <row r="5" spans="1:6" ht="12.75">
      <c r="A5" s="915" t="s">
        <v>1127</v>
      </c>
      <c r="B5" s="919" t="s">
        <v>1661</v>
      </c>
      <c r="C5" s="917"/>
      <c r="D5" s="917"/>
      <c r="E5" s="1142"/>
      <c r="F5" s="918">
        <f>F792</f>
        <v>0</v>
      </c>
    </row>
    <row r="6" spans="1:6" ht="13.5" thickBot="1">
      <c r="A6" s="915" t="s">
        <v>1339</v>
      </c>
      <c r="B6" s="919" t="str">
        <f>B850</f>
        <v>PREZRAČEVANJE</v>
      </c>
      <c r="C6" s="917"/>
      <c r="D6" s="917"/>
      <c r="E6" s="1142"/>
      <c r="F6" s="918">
        <f>F850</f>
        <v>0</v>
      </c>
    </row>
    <row r="7" spans="1:6" ht="16.5" thickTop="1">
      <c r="A7" s="920"/>
      <c r="B7" s="921" t="s">
        <v>1343</v>
      </c>
      <c r="C7" s="902"/>
      <c r="D7" s="902"/>
      <c r="E7" s="905"/>
      <c r="F7" s="922">
        <f>SUM(F3:F6)</f>
        <v>0</v>
      </c>
    </row>
    <row r="8" spans="1:6" ht="12.75">
      <c r="A8" s="911"/>
      <c r="B8" s="923"/>
      <c r="C8" s="924"/>
      <c r="D8" s="924"/>
      <c r="E8" s="1143"/>
      <c r="F8" s="925"/>
    </row>
    <row r="9" spans="1:6" ht="12.75">
      <c r="A9" s="911"/>
      <c r="B9" s="923"/>
      <c r="C9" s="924"/>
      <c r="D9" s="924"/>
      <c r="E9" s="1143"/>
      <c r="F9" s="925"/>
    </row>
    <row r="10" spans="1:6" ht="12.75">
      <c r="A10" s="911"/>
      <c r="B10" s="926" t="s">
        <v>1344</v>
      </c>
      <c r="C10" s="924"/>
      <c r="D10" s="924"/>
      <c r="E10" s="1143"/>
      <c r="F10" s="925"/>
    </row>
    <row r="11" spans="1:6" ht="43.5" customHeight="1">
      <c r="A11" s="911"/>
      <c r="B11" s="927"/>
      <c r="C11" s="924"/>
      <c r="D11" s="924"/>
      <c r="E11" s="1143"/>
      <c r="F11" s="925"/>
    </row>
    <row r="12" spans="1:6" ht="51">
      <c r="A12" s="911"/>
      <c r="B12" s="928" t="s">
        <v>1345</v>
      </c>
      <c r="C12" s="924"/>
      <c r="D12" s="924"/>
      <c r="E12" s="1143"/>
      <c r="F12" s="925"/>
    </row>
    <row r="13" spans="1:6" ht="12.75">
      <c r="A13" s="911"/>
      <c r="B13" s="929"/>
      <c r="C13" s="924"/>
      <c r="D13" s="924"/>
      <c r="E13" s="1143"/>
      <c r="F13" s="925"/>
    </row>
    <row r="14" spans="1:6" ht="51">
      <c r="A14" s="911"/>
      <c r="B14" s="928" t="s">
        <v>1346</v>
      </c>
      <c r="C14" s="924"/>
      <c r="D14" s="924"/>
      <c r="E14" s="1143"/>
      <c r="F14" s="925"/>
    </row>
    <row r="15" spans="1:6" ht="12.75">
      <c r="A15" s="930"/>
      <c r="B15" s="931" t="s">
        <v>1348</v>
      </c>
      <c r="C15" s="932"/>
      <c r="D15" s="932"/>
      <c r="E15" s="1144"/>
      <c r="F15" s="933"/>
    </row>
    <row r="16" spans="1:6" ht="38.25">
      <c r="A16" s="930"/>
      <c r="B16" s="934" t="s">
        <v>1349</v>
      </c>
      <c r="C16" s="935"/>
      <c r="D16" s="935"/>
      <c r="E16" s="1145"/>
      <c r="F16" s="936"/>
    </row>
    <row r="17" spans="1:6" ht="12.75">
      <c r="A17" s="930"/>
      <c r="B17" s="937"/>
      <c r="C17" s="938"/>
      <c r="D17" s="938"/>
      <c r="E17" s="1146"/>
      <c r="F17" s="936"/>
    </row>
    <row r="18" spans="1:6" ht="76.5">
      <c r="A18" s="930"/>
      <c r="B18" s="939" t="s">
        <v>1351</v>
      </c>
      <c r="C18" s="940"/>
      <c r="D18" s="940"/>
      <c r="E18" s="1147"/>
      <c r="F18" s="936"/>
    </row>
    <row r="19" spans="1:6" ht="12.75">
      <c r="A19" s="930"/>
      <c r="B19" s="941"/>
      <c r="C19" s="942"/>
      <c r="D19" s="942"/>
      <c r="E19" s="1148"/>
      <c r="F19" s="936"/>
    </row>
    <row r="20" spans="1:6" ht="38.25">
      <c r="A20" s="930"/>
      <c r="B20" s="939" t="s">
        <v>1353</v>
      </c>
      <c r="C20" s="940"/>
      <c r="D20" s="940"/>
      <c r="E20" s="1147"/>
      <c r="F20" s="936"/>
    </row>
    <row r="21" spans="1:6" ht="12.75">
      <c r="A21" s="930"/>
      <c r="B21" s="941"/>
      <c r="C21" s="942"/>
      <c r="D21" s="942"/>
      <c r="E21" s="1148"/>
      <c r="F21" s="936"/>
    </row>
    <row r="22" spans="1:6" ht="76.5">
      <c r="A22" s="930"/>
      <c r="B22" s="939" t="s">
        <v>1355</v>
      </c>
      <c r="C22" s="940"/>
      <c r="D22" s="940"/>
      <c r="E22" s="1147"/>
      <c r="F22" s="936"/>
    </row>
    <row r="23" spans="1:6" ht="12.75">
      <c r="A23" s="930"/>
      <c r="B23" s="941"/>
      <c r="C23" s="942"/>
      <c r="D23" s="942"/>
      <c r="E23" s="1148"/>
      <c r="F23" s="936"/>
    </row>
    <row r="24" spans="1:6" ht="25.5">
      <c r="A24" s="930"/>
      <c r="B24" s="939" t="s">
        <v>1357</v>
      </c>
      <c r="C24" s="940"/>
      <c r="D24" s="940"/>
      <c r="E24" s="1147"/>
      <c r="F24" s="936"/>
    </row>
    <row r="25" spans="1:6" ht="12.75">
      <c r="A25" s="930"/>
      <c r="B25" s="941"/>
      <c r="C25" s="942"/>
      <c r="D25" s="942"/>
      <c r="E25" s="1148"/>
      <c r="F25" s="936"/>
    </row>
    <row r="26" spans="1:6" ht="51">
      <c r="A26" s="930"/>
      <c r="B26" s="939" t="s">
        <v>1359</v>
      </c>
      <c r="C26" s="940"/>
      <c r="D26" s="940"/>
      <c r="E26" s="1147"/>
      <c r="F26" s="936"/>
    </row>
    <row r="27" spans="1:6" ht="12.75">
      <c r="A27" s="930"/>
      <c r="B27" s="943"/>
      <c r="C27" s="942"/>
      <c r="D27" s="942"/>
      <c r="E27" s="1148"/>
      <c r="F27" s="936"/>
    </row>
    <row r="28" spans="1:6" ht="51">
      <c r="A28" s="930"/>
      <c r="B28" s="939" t="s">
        <v>1662</v>
      </c>
      <c r="C28" s="940"/>
      <c r="D28" s="940"/>
      <c r="E28" s="1147"/>
      <c r="F28" s="936"/>
    </row>
    <row r="29" spans="1:6" ht="12.75">
      <c r="A29" s="930"/>
      <c r="B29" s="943"/>
      <c r="C29" s="942"/>
      <c r="D29" s="942"/>
      <c r="E29" s="1148"/>
      <c r="F29" s="936"/>
    </row>
    <row r="30" spans="1:6" ht="12.75">
      <c r="A30" s="930"/>
      <c r="B30" s="939" t="s">
        <v>1663</v>
      </c>
      <c r="C30" s="940"/>
      <c r="D30" s="940"/>
      <c r="E30" s="1147"/>
      <c r="F30" s="936"/>
    </row>
    <row r="31" spans="1:6" ht="12.75">
      <c r="A31" s="930"/>
      <c r="B31" s="943"/>
      <c r="C31" s="942"/>
      <c r="D31" s="942"/>
      <c r="E31" s="1148"/>
      <c r="F31" s="936"/>
    </row>
    <row r="32" spans="1:6" ht="89.25">
      <c r="A32" s="930"/>
      <c r="B32" s="939" t="s">
        <v>1664</v>
      </c>
      <c r="C32" s="940"/>
      <c r="D32" s="940"/>
      <c r="E32" s="1147"/>
      <c r="F32" s="936"/>
    </row>
    <row r="33" spans="1:6" ht="12.75">
      <c r="A33" s="930"/>
      <c r="B33" s="941"/>
      <c r="C33" s="942"/>
      <c r="D33" s="942"/>
      <c r="E33" s="1148"/>
      <c r="F33" s="936"/>
    </row>
    <row r="34" spans="1:6" ht="38.25">
      <c r="A34" s="930"/>
      <c r="B34" s="939" t="s">
        <v>1665</v>
      </c>
      <c r="C34" s="940"/>
      <c r="D34" s="940"/>
      <c r="E34" s="1147"/>
      <c r="F34" s="936"/>
    </row>
    <row r="35" spans="1:6" ht="12.75">
      <c r="A35" s="930"/>
      <c r="B35" s="941"/>
      <c r="C35" s="942"/>
      <c r="D35" s="942"/>
      <c r="E35" s="1148"/>
      <c r="F35" s="936"/>
    </row>
    <row r="36" spans="1:6" ht="51">
      <c r="A36" s="930"/>
      <c r="B36" s="939" t="s">
        <v>1666</v>
      </c>
      <c r="C36" s="940"/>
      <c r="D36" s="940"/>
      <c r="E36" s="1147"/>
      <c r="F36" s="936"/>
    </row>
    <row r="37" spans="1:6" ht="12.75">
      <c r="A37" s="930"/>
      <c r="B37" s="941"/>
      <c r="C37" s="942"/>
      <c r="D37" s="942"/>
      <c r="E37" s="1148"/>
      <c r="F37" s="936"/>
    </row>
    <row r="38" spans="1:6" ht="38.25">
      <c r="A38" s="930"/>
      <c r="B38" s="939" t="s">
        <v>1667</v>
      </c>
      <c r="C38" s="940"/>
      <c r="D38" s="940"/>
      <c r="E38" s="1147"/>
      <c r="F38" s="936"/>
    </row>
    <row r="39" spans="1:6" ht="12.75">
      <c r="A39" s="930"/>
      <c r="B39" s="941"/>
      <c r="C39" s="942"/>
      <c r="D39" s="942"/>
      <c r="E39" s="1148"/>
      <c r="F39" s="936"/>
    </row>
    <row r="40" spans="1:6" ht="25.5">
      <c r="A40" s="930"/>
      <c r="B40" s="939" t="s">
        <v>1361</v>
      </c>
      <c r="C40" s="940"/>
      <c r="D40" s="940"/>
      <c r="E40" s="1147"/>
      <c r="F40" s="936"/>
    </row>
    <row r="41" spans="1:6" ht="12.75">
      <c r="A41" s="930"/>
      <c r="B41" s="941"/>
      <c r="C41" s="942"/>
      <c r="D41" s="942"/>
      <c r="E41" s="1148"/>
      <c r="F41" s="936"/>
    </row>
    <row r="42" spans="1:6" ht="63.75">
      <c r="A42" s="930"/>
      <c r="B42" s="939" t="s">
        <v>1668</v>
      </c>
      <c r="C42" s="940"/>
      <c r="D42" s="940"/>
      <c r="E42" s="1147"/>
      <c r="F42" s="936"/>
    </row>
    <row r="43" spans="1:6" ht="12.75">
      <c r="A43" s="930"/>
      <c r="B43" s="941"/>
      <c r="C43" s="942"/>
      <c r="D43" s="942"/>
      <c r="E43" s="1148"/>
      <c r="F43" s="936"/>
    </row>
    <row r="44" spans="1:6" ht="25.5">
      <c r="A44" s="930"/>
      <c r="B44" s="939" t="s">
        <v>1669</v>
      </c>
      <c r="C44" s="940"/>
      <c r="D44" s="940"/>
      <c r="E44" s="1147"/>
      <c r="F44" s="936"/>
    </row>
    <row r="45" spans="1:6" ht="12.75">
      <c r="A45" s="930"/>
      <c r="B45" s="941"/>
      <c r="C45" s="942"/>
      <c r="D45" s="942"/>
      <c r="E45" s="1148"/>
      <c r="F45" s="936"/>
    </row>
    <row r="46" spans="1:6" ht="25.5">
      <c r="A46" s="930"/>
      <c r="B46" s="939" t="s">
        <v>1363</v>
      </c>
      <c r="C46" s="940"/>
      <c r="D46" s="940"/>
      <c r="E46" s="1147"/>
      <c r="F46" s="936"/>
    </row>
    <row r="47" spans="1:6" ht="12.75">
      <c r="A47" s="930"/>
      <c r="B47" s="941"/>
      <c r="C47" s="942"/>
      <c r="D47" s="942"/>
      <c r="E47" s="1148"/>
      <c r="F47" s="936"/>
    </row>
    <row r="48" spans="1:6" ht="12.75">
      <c r="A48" s="930"/>
      <c r="B48" s="939" t="s">
        <v>1670</v>
      </c>
      <c r="C48" s="940"/>
      <c r="D48" s="940"/>
      <c r="E48" s="1147"/>
      <c r="F48" s="936"/>
    </row>
    <row r="49" spans="1:6" ht="12.75">
      <c r="A49" s="930"/>
      <c r="B49" s="941"/>
      <c r="C49" s="942"/>
      <c r="D49" s="942"/>
      <c r="E49" s="1148"/>
      <c r="F49" s="936"/>
    </row>
    <row r="50" spans="1:6" ht="38.25">
      <c r="A50" s="930"/>
      <c r="B50" s="939" t="s">
        <v>1671</v>
      </c>
      <c r="C50" s="940"/>
      <c r="D50" s="940"/>
      <c r="E50" s="1147"/>
      <c r="F50" s="936"/>
    </row>
    <row r="51" spans="1:6" ht="12.75">
      <c r="A51" s="930"/>
      <c r="B51" s="941"/>
      <c r="C51" s="942"/>
      <c r="D51" s="942"/>
      <c r="E51" s="1148"/>
      <c r="F51" s="936"/>
    </row>
    <row r="52" spans="1:6" ht="25.5">
      <c r="A52" s="930"/>
      <c r="B52" s="939" t="s">
        <v>1369</v>
      </c>
      <c r="C52" s="940"/>
      <c r="D52" s="940"/>
      <c r="E52" s="1147"/>
      <c r="F52" s="936"/>
    </row>
    <row r="53" spans="1:6" ht="12.75">
      <c r="A53" s="930"/>
      <c r="B53" s="941"/>
      <c r="C53" s="942"/>
      <c r="D53" s="942"/>
      <c r="E53" s="1148"/>
      <c r="F53" s="936"/>
    </row>
    <row r="54" spans="1:6" ht="38.25">
      <c r="A54" s="930"/>
      <c r="B54" s="939" t="s">
        <v>1672</v>
      </c>
      <c r="C54" s="940"/>
      <c r="D54" s="940"/>
      <c r="E54" s="1147"/>
      <c r="F54" s="936"/>
    </row>
    <row r="55" spans="1:6" ht="12.75">
      <c r="A55" s="930"/>
      <c r="B55" s="941"/>
      <c r="C55" s="944"/>
      <c r="D55" s="944"/>
      <c r="E55" s="1065"/>
      <c r="F55" s="936"/>
    </row>
    <row r="56" spans="1:6" ht="12.75">
      <c r="A56" s="911"/>
      <c r="B56" s="928"/>
      <c r="C56" s="924"/>
      <c r="D56" s="924"/>
      <c r="E56" s="1143"/>
      <c r="F56" s="925"/>
    </row>
    <row r="57" spans="1:6" ht="12.75">
      <c r="A57" s="930"/>
      <c r="B57" s="941"/>
      <c r="C57" s="944"/>
      <c r="D57" s="944"/>
      <c r="E57" s="1065"/>
      <c r="F57" s="936"/>
    </row>
    <row r="58" spans="1:6" ht="12.75">
      <c r="A58" s="945"/>
      <c r="B58" s="946" t="s">
        <v>1377</v>
      </c>
      <c r="C58" s="947" t="s">
        <v>1378</v>
      </c>
      <c r="D58" s="947" t="s">
        <v>1379</v>
      </c>
      <c r="E58" s="1149" t="s">
        <v>1380</v>
      </c>
      <c r="F58" s="948" t="s">
        <v>1337</v>
      </c>
    </row>
    <row r="59" spans="1:6" ht="12.75">
      <c r="A59" s="907"/>
      <c r="B59" s="949"/>
      <c r="C59" s="950"/>
      <c r="D59" s="950"/>
      <c r="E59" s="1005"/>
      <c r="F59" s="951"/>
    </row>
    <row r="60" spans="1:6" ht="12.75">
      <c r="A60" s="952" t="s">
        <v>1338</v>
      </c>
      <c r="B60" s="953" t="s">
        <v>1673</v>
      </c>
      <c r="C60" s="954"/>
      <c r="D60" s="954"/>
      <c r="E60" s="1144"/>
      <c r="F60" s="955">
        <f>SUBTOTAL(9,F66:F371)</f>
        <v>0</v>
      </c>
    </row>
    <row r="61" spans="1:6" ht="12.75">
      <c r="A61" s="956"/>
      <c r="B61" s="957" t="s">
        <v>1674</v>
      </c>
      <c r="C61" s="958"/>
      <c r="D61" s="958"/>
      <c r="E61" s="959"/>
      <c r="F61" s="960"/>
    </row>
    <row r="62" spans="1:6" ht="12.75">
      <c r="A62" s="956"/>
      <c r="B62" s="961"/>
      <c r="C62" s="958"/>
      <c r="D62" s="958"/>
      <c r="E62" s="959"/>
      <c r="F62" s="960"/>
    </row>
    <row r="63" spans="1:6" ht="76.5">
      <c r="A63" s="962">
        <v>1</v>
      </c>
      <c r="B63" s="963" t="s">
        <v>1675</v>
      </c>
      <c r="C63" s="958"/>
      <c r="D63" s="958"/>
      <c r="E63" s="959"/>
      <c r="F63" s="960"/>
    </row>
    <row r="64" spans="1:6" ht="25.5">
      <c r="A64" s="956"/>
      <c r="B64" s="963" t="s">
        <v>1676</v>
      </c>
      <c r="C64" s="958"/>
      <c r="D64" s="958"/>
      <c r="E64" s="959"/>
      <c r="F64" s="960"/>
    </row>
    <row r="65" spans="1:6" ht="25.5">
      <c r="A65" s="956"/>
      <c r="B65" s="963" t="s">
        <v>1677</v>
      </c>
      <c r="C65" s="958"/>
      <c r="D65" s="958"/>
      <c r="E65" s="959"/>
      <c r="F65" s="960"/>
    </row>
    <row r="66" spans="1:6" ht="89.25">
      <c r="A66" s="956"/>
      <c r="B66" s="963" t="s">
        <v>1678</v>
      </c>
      <c r="C66" s="958"/>
      <c r="D66" s="958"/>
      <c r="E66" s="959"/>
      <c r="F66" s="960"/>
    </row>
    <row r="67" spans="1:6" ht="12.75">
      <c r="A67" s="956"/>
      <c r="B67" s="964" t="s">
        <v>1679</v>
      </c>
      <c r="C67" s="958" t="s">
        <v>748</v>
      </c>
      <c r="D67" s="965">
        <v>1</v>
      </c>
      <c r="E67" s="966"/>
      <c r="F67" s="967">
        <f>D67*E67</f>
        <v>0</v>
      </c>
    </row>
    <row r="68" spans="1:6" ht="15.75">
      <c r="A68" s="956"/>
      <c r="B68" s="968" t="s">
        <v>2266</v>
      </c>
      <c r="C68" s="958"/>
      <c r="D68" s="958"/>
      <c r="E68" s="959"/>
      <c r="F68" s="960"/>
    </row>
    <row r="69" spans="1:6" ht="15.75">
      <c r="A69" s="956"/>
      <c r="B69" s="968" t="s">
        <v>2267</v>
      </c>
      <c r="C69" s="958"/>
      <c r="D69" s="958"/>
      <c r="E69" s="959"/>
      <c r="F69" s="960"/>
    </row>
    <row r="70" spans="1:6" ht="12.75">
      <c r="A70" s="956"/>
      <c r="B70" s="968" t="s">
        <v>2268</v>
      </c>
      <c r="C70" s="958"/>
      <c r="D70" s="958"/>
      <c r="E70" s="959"/>
      <c r="F70" s="960"/>
    </row>
    <row r="71" spans="1:6" ht="12.75">
      <c r="A71" s="956"/>
      <c r="B71" s="968" t="s">
        <v>1680</v>
      </c>
      <c r="C71" s="958"/>
      <c r="D71" s="958"/>
      <c r="E71" s="959"/>
      <c r="F71" s="960"/>
    </row>
    <row r="72" spans="1:6" ht="12.75">
      <c r="A72" s="956"/>
      <c r="B72" s="963" t="s">
        <v>1681</v>
      </c>
      <c r="C72" s="958"/>
      <c r="D72" s="958"/>
      <c r="E72" s="959"/>
      <c r="F72" s="956"/>
    </row>
    <row r="73" spans="1:6" ht="12.75">
      <c r="A73" s="907"/>
      <c r="B73" s="969" t="s">
        <v>1682</v>
      </c>
      <c r="C73" s="970"/>
      <c r="D73" s="970"/>
      <c r="E73" s="1005"/>
      <c r="F73" s="951"/>
    </row>
    <row r="74" spans="1:6" ht="12.75">
      <c r="A74" s="956"/>
      <c r="B74" s="963"/>
      <c r="C74" s="958"/>
      <c r="D74" s="958"/>
      <c r="E74" s="959"/>
      <c r="F74" s="960"/>
    </row>
    <row r="75" spans="1:6" ht="38.25">
      <c r="A75" s="962">
        <f>MAX($A$63:A74)+1</f>
        <v>2</v>
      </c>
      <c r="B75" s="963" t="s">
        <v>1683</v>
      </c>
      <c r="C75" s="971"/>
      <c r="D75" s="971"/>
      <c r="E75" s="959"/>
      <c r="F75" s="960"/>
    </row>
    <row r="76" spans="1:6" ht="12.75">
      <c r="A76" s="962"/>
      <c r="B76" s="972" t="s">
        <v>1684</v>
      </c>
      <c r="C76" s="958"/>
      <c r="D76" s="958"/>
      <c r="E76" s="1150"/>
      <c r="F76" s="958"/>
    </row>
    <row r="77" spans="1:6" ht="12.75">
      <c r="A77" s="962"/>
      <c r="B77" s="972" t="s">
        <v>1685</v>
      </c>
      <c r="C77" s="958"/>
      <c r="D77" s="958"/>
      <c r="E77" s="1150"/>
      <c r="F77" s="958"/>
    </row>
    <row r="78" spans="1:6" ht="12.75">
      <c r="A78" s="962"/>
      <c r="B78" s="972" t="s">
        <v>1686</v>
      </c>
      <c r="C78" s="958"/>
      <c r="D78" s="958"/>
      <c r="E78" s="1150"/>
      <c r="F78" s="958"/>
    </row>
    <row r="79" spans="1:6" ht="12.75">
      <c r="A79" s="962"/>
      <c r="B79" s="972" t="s">
        <v>1687</v>
      </c>
      <c r="C79" s="958"/>
      <c r="D79" s="958"/>
      <c r="E79" s="1150"/>
      <c r="F79" s="958"/>
    </row>
    <row r="80" spans="1:6" ht="12.75">
      <c r="A80" s="962"/>
      <c r="B80" s="972" t="s">
        <v>1688</v>
      </c>
      <c r="C80" s="958"/>
      <c r="D80" s="958"/>
      <c r="E80" s="1150"/>
      <c r="F80" s="958"/>
    </row>
    <row r="81" spans="1:6" ht="12.75">
      <c r="A81" s="962"/>
      <c r="B81" s="972" t="s">
        <v>1689</v>
      </c>
      <c r="C81" s="958"/>
      <c r="D81" s="958"/>
      <c r="E81" s="1150"/>
      <c r="F81" s="958"/>
    </row>
    <row r="82" spans="1:6" ht="12.75">
      <c r="A82" s="962"/>
      <c r="B82" s="972" t="s">
        <v>1690</v>
      </c>
      <c r="C82" s="958"/>
      <c r="D82" s="958"/>
      <c r="E82" s="1150"/>
      <c r="F82" s="958"/>
    </row>
    <row r="83" spans="1:6" ht="12.75">
      <c r="A83" s="962"/>
      <c r="B83" s="972" t="s">
        <v>1691</v>
      </c>
      <c r="C83" s="958"/>
      <c r="D83" s="958"/>
      <c r="E83" s="1150"/>
      <c r="F83" s="958"/>
    </row>
    <row r="84" spans="1:6" ht="25.5">
      <c r="A84" s="962"/>
      <c r="B84" s="972" t="s">
        <v>1692</v>
      </c>
      <c r="C84" s="958"/>
      <c r="D84" s="958"/>
      <c r="E84" s="1150"/>
      <c r="F84" s="958"/>
    </row>
    <row r="85" spans="1:6" ht="25.5">
      <c r="A85" s="962"/>
      <c r="B85" s="972" t="s">
        <v>1693</v>
      </c>
      <c r="C85" s="958"/>
      <c r="D85" s="958"/>
      <c r="E85" s="1150"/>
      <c r="F85" s="958"/>
    </row>
    <row r="86" spans="1:6" ht="12.75">
      <c r="A86" s="962"/>
      <c r="B86" s="963" t="s">
        <v>1694</v>
      </c>
      <c r="C86" s="958"/>
      <c r="D86" s="958"/>
      <c r="E86" s="1150"/>
      <c r="F86" s="958"/>
    </row>
    <row r="87" spans="1:6" ht="38.25">
      <c r="A87" s="962"/>
      <c r="B87" s="963" t="s">
        <v>1695</v>
      </c>
      <c r="C87" s="958"/>
      <c r="D87" s="965"/>
      <c r="E87" s="1150"/>
      <c r="F87" s="958"/>
    </row>
    <row r="88" spans="1:6" ht="12.75">
      <c r="A88" s="956"/>
      <c r="B88" s="963" t="s">
        <v>1696</v>
      </c>
      <c r="C88" s="958" t="s">
        <v>1697</v>
      </c>
      <c r="D88" s="965">
        <v>1</v>
      </c>
      <c r="E88" s="966"/>
      <c r="F88" s="967">
        <f>D88*E88</f>
        <v>0</v>
      </c>
    </row>
    <row r="89" spans="1:6" ht="12.75">
      <c r="A89" s="956"/>
      <c r="B89" s="963"/>
      <c r="C89" s="958"/>
      <c r="D89" s="965"/>
      <c r="E89" s="959"/>
      <c r="F89" s="960"/>
    </row>
    <row r="90" spans="1:6" ht="25.5">
      <c r="A90" s="962">
        <f>MAX($A$63:A89)+1</f>
        <v>3</v>
      </c>
      <c r="B90" s="963" t="s">
        <v>1698</v>
      </c>
      <c r="C90" s="958" t="s">
        <v>1697</v>
      </c>
      <c r="D90" s="965">
        <v>1</v>
      </c>
      <c r="E90" s="966"/>
      <c r="F90" s="967">
        <f>D90*E90</f>
        <v>0</v>
      </c>
    </row>
    <row r="91" spans="1:6" ht="12.75">
      <c r="A91" s="956"/>
      <c r="B91" s="963"/>
      <c r="C91" s="958"/>
      <c r="D91" s="965"/>
      <c r="E91" s="959"/>
      <c r="F91" s="960"/>
    </row>
    <row r="92" spans="1:6" ht="63.75">
      <c r="A92" s="962">
        <f>MAX($A$63:A91)+1</f>
        <v>4</v>
      </c>
      <c r="B92" s="963" t="s">
        <v>1699</v>
      </c>
      <c r="C92" s="958"/>
      <c r="D92" s="965"/>
      <c r="E92" s="959"/>
      <c r="F92" s="960"/>
    </row>
    <row r="93" spans="1:6" ht="12.75">
      <c r="A93" s="956"/>
      <c r="B93" s="963" t="s">
        <v>1700</v>
      </c>
      <c r="C93" s="958"/>
      <c r="D93" s="965"/>
      <c r="E93" s="959"/>
      <c r="F93" s="960"/>
    </row>
    <row r="94" spans="1:6" ht="25.5">
      <c r="A94" s="956"/>
      <c r="B94" s="963" t="s">
        <v>1701</v>
      </c>
      <c r="C94" s="958"/>
      <c r="D94" s="965"/>
      <c r="E94" s="959"/>
      <c r="F94" s="960"/>
    </row>
    <row r="95" spans="1:6" ht="12.75">
      <c r="A95" s="956"/>
      <c r="B95" s="972" t="s">
        <v>1702</v>
      </c>
      <c r="C95" s="958"/>
      <c r="D95" s="965"/>
      <c r="E95" s="959"/>
      <c r="F95" s="960"/>
    </row>
    <row r="96" spans="1:6" ht="12.75">
      <c r="A96" s="956"/>
      <c r="B96" s="972" t="s">
        <v>1703</v>
      </c>
      <c r="C96" s="958"/>
      <c r="D96" s="965"/>
      <c r="E96" s="959"/>
      <c r="F96" s="960"/>
    </row>
    <row r="97" spans="1:6" ht="25.5">
      <c r="A97" s="956"/>
      <c r="B97" s="963" t="s">
        <v>1704</v>
      </c>
      <c r="C97" s="958" t="s">
        <v>748</v>
      </c>
      <c r="D97" s="965">
        <v>1</v>
      </c>
      <c r="E97" s="966"/>
      <c r="F97" s="967">
        <f>D97*E97</f>
        <v>0</v>
      </c>
    </row>
    <row r="98" spans="1:6" ht="12.75">
      <c r="A98" s="956"/>
      <c r="B98" s="963" t="s">
        <v>1705</v>
      </c>
      <c r="C98" s="958"/>
      <c r="D98" s="965"/>
      <c r="E98" s="959"/>
      <c r="F98" s="960"/>
    </row>
    <row r="99" spans="1:6" ht="12.75">
      <c r="A99" s="956"/>
      <c r="B99" s="973"/>
      <c r="C99" s="958"/>
      <c r="D99" s="965"/>
      <c r="E99" s="959"/>
      <c r="F99" s="960"/>
    </row>
    <row r="100" spans="1:6" ht="25.5">
      <c r="A100" s="962">
        <f>MAX($A$63:A99)+1</f>
        <v>5</v>
      </c>
      <c r="B100" s="974" t="s">
        <v>1706</v>
      </c>
      <c r="C100" s="958"/>
      <c r="D100" s="965"/>
      <c r="E100" s="959"/>
      <c r="F100" s="960"/>
    </row>
    <row r="101" spans="1:6" ht="12.75">
      <c r="A101" s="956"/>
      <c r="B101" s="963" t="s">
        <v>1707</v>
      </c>
      <c r="C101" s="958"/>
      <c r="D101" s="965"/>
      <c r="E101" s="959"/>
      <c r="F101" s="960"/>
    </row>
    <row r="102" spans="1:6" ht="12.75">
      <c r="A102" s="956"/>
      <c r="B102" s="963" t="s">
        <v>1708</v>
      </c>
      <c r="C102" s="958"/>
      <c r="D102" s="965"/>
      <c r="E102" s="959"/>
      <c r="F102" s="960"/>
    </row>
    <row r="103" spans="1:6" ht="12.75">
      <c r="A103" s="956"/>
      <c r="B103" s="963" t="s">
        <v>1709</v>
      </c>
      <c r="C103" s="958" t="s">
        <v>520</v>
      </c>
      <c r="D103" s="965">
        <v>1</v>
      </c>
      <c r="E103" s="966"/>
      <c r="F103" s="967">
        <f>D103*E103</f>
        <v>0</v>
      </c>
    </row>
    <row r="104" spans="1:6" ht="12.75">
      <c r="A104" s="956"/>
      <c r="B104" s="963" t="s">
        <v>1710</v>
      </c>
      <c r="C104" s="958"/>
      <c r="D104" s="965"/>
      <c r="E104" s="959"/>
      <c r="F104" s="960"/>
    </row>
    <row r="105" spans="1:6" ht="12.75">
      <c r="A105" s="956"/>
      <c r="B105" s="969" t="s">
        <v>1682</v>
      </c>
      <c r="C105" s="958"/>
      <c r="D105" s="965"/>
      <c r="E105" s="959"/>
      <c r="F105" s="975"/>
    </row>
    <row r="106" spans="1:6" ht="12.75">
      <c r="A106" s="956"/>
      <c r="B106" s="963"/>
      <c r="C106" s="958"/>
      <c r="D106" s="965"/>
      <c r="E106" s="959"/>
      <c r="F106" s="960"/>
    </row>
    <row r="107" spans="1:6" ht="76.5">
      <c r="A107" s="962">
        <f>MAX($A$63:A106)+1</f>
        <v>6</v>
      </c>
      <c r="B107" s="976" t="s">
        <v>1711</v>
      </c>
      <c r="C107" s="944"/>
      <c r="D107" s="977"/>
      <c r="E107" s="1134"/>
      <c r="F107" s="978"/>
    </row>
    <row r="108" spans="1:6" ht="15.75">
      <c r="A108" s="979"/>
      <c r="B108" s="976" t="s">
        <v>2269</v>
      </c>
      <c r="C108" s="980" t="s">
        <v>520</v>
      </c>
      <c r="D108" s="981">
        <v>1</v>
      </c>
      <c r="E108" s="982"/>
      <c r="F108" s="967">
        <f>D108*E108</f>
        <v>0</v>
      </c>
    </row>
    <row r="109" spans="1:6" ht="12.75">
      <c r="A109" s="956"/>
      <c r="B109" s="983" t="s">
        <v>1712</v>
      </c>
      <c r="C109" s="950"/>
      <c r="D109" s="984"/>
      <c r="E109" s="959"/>
      <c r="F109" s="960"/>
    </row>
    <row r="110" spans="1:6" ht="12.75">
      <c r="A110" s="956"/>
      <c r="B110" s="969" t="s">
        <v>1682</v>
      </c>
      <c r="C110" s="958"/>
      <c r="D110" s="965"/>
      <c r="E110" s="959"/>
      <c r="F110" s="975"/>
    </row>
    <row r="111" spans="1:6" ht="12.75">
      <c r="A111" s="956"/>
      <c r="B111" s="969"/>
      <c r="C111" s="958"/>
      <c r="D111" s="965"/>
      <c r="E111" s="959"/>
      <c r="F111" s="975"/>
    </row>
    <row r="112" spans="1:6" ht="25.5">
      <c r="A112" s="962">
        <f>MAX($A$63:A111)+1</f>
        <v>7</v>
      </c>
      <c r="B112" s="985" t="s">
        <v>1713</v>
      </c>
      <c r="C112" s="958"/>
      <c r="D112" s="965"/>
      <c r="E112" s="959"/>
      <c r="F112" s="975"/>
    </row>
    <row r="113" spans="1:6" ht="12.75">
      <c r="A113" s="907"/>
      <c r="B113" s="986" t="s">
        <v>1714</v>
      </c>
      <c r="C113" s="958"/>
      <c r="D113" s="965"/>
      <c r="E113" s="959"/>
      <c r="F113" s="975"/>
    </row>
    <row r="114" spans="1:6" ht="12.75">
      <c r="A114" s="907"/>
      <c r="B114" s="986" t="s">
        <v>1715</v>
      </c>
      <c r="C114" s="958"/>
      <c r="D114" s="965"/>
      <c r="E114" s="959"/>
      <c r="F114" s="975"/>
    </row>
    <row r="115" spans="1:6" ht="12.75">
      <c r="A115" s="907"/>
      <c r="B115" s="986" t="s">
        <v>1716</v>
      </c>
      <c r="C115" s="958"/>
      <c r="D115" s="965"/>
      <c r="E115" s="959"/>
      <c r="F115" s="975"/>
    </row>
    <row r="116" spans="1:6" ht="12.75">
      <c r="A116" s="907"/>
      <c r="B116" s="987" t="s">
        <v>1717</v>
      </c>
      <c r="C116" s="958"/>
      <c r="D116" s="965"/>
      <c r="E116" s="959"/>
      <c r="F116" s="975"/>
    </row>
    <row r="117" spans="1:6" ht="51">
      <c r="A117" s="907"/>
      <c r="B117" s="987" t="s">
        <v>1718</v>
      </c>
      <c r="C117" s="988"/>
      <c r="D117" s="989"/>
      <c r="E117" s="959"/>
      <c r="F117" s="975"/>
    </row>
    <row r="118" spans="1:6" ht="12.75">
      <c r="A118" s="907"/>
      <c r="B118" s="990" t="s">
        <v>1719</v>
      </c>
      <c r="C118" s="988"/>
      <c r="D118" s="989"/>
      <c r="E118" s="959"/>
      <c r="F118" s="975"/>
    </row>
    <row r="119" spans="1:6" ht="12.75">
      <c r="A119" s="956"/>
      <c r="B119" s="991" t="s">
        <v>1720</v>
      </c>
      <c r="C119" s="992"/>
      <c r="D119" s="993"/>
      <c r="E119" s="959"/>
      <c r="F119" s="960"/>
    </row>
    <row r="120" spans="1:6" ht="12.75">
      <c r="A120" s="907"/>
      <c r="B120" s="990" t="s">
        <v>1721</v>
      </c>
      <c r="C120" s="994" t="s">
        <v>748</v>
      </c>
      <c r="D120" s="995">
        <v>1</v>
      </c>
      <c r="E120" s="982"/>
      <c r="F120" s="967">
        <f>D120*E120</f>
        <v>0</v>
      </c>
    </row>
    <row r="121" spans="1:6" ht="12.75">
      <c r="A121" s="956"/>
      <c r="B121" s="973"/>
      <c r="C121" s="992"/>
      <c r="D121" s="993"/>
      <c r="E121" s="959"/>
      <c r="F121" s="967"/>
    </row>
    <row r="122" spans="1:6" ht="89.25">
      <c r="A122" s="962">
        <f>MAX($A$63:A121)+1</f>
        <v>8</v>
      </c>
      <c r="B122" s="991" t="s">
        <v>1722</v>
      </c>
      <c r="C122" s="992"/>
      <c r="D122" s="993"/>
      <c r="E122" s="959"/>
      <c r="F122" s="960"/>
    </row>
    <row r="123" spans="1:6" ht="12.75">
      <c r="A123" s="956"/>
      <c r="B123" s="991" t="s">
        <v>1723</v>
      </c>
      <c r="C123" s="992"/>
      <c r="D123" s="993"/>
      <c r="E123" s="959"/>
      <c r="F123" s="960"/>
    </row>
    <row r="124" spans="1:6" ht="12.75">
      <c r="A124" s="956"/>
      <c r="B124" s="991" t="s">
        <v>1724</v>
      </c>
      <c r="C124" s="992"/>
      <c r="D124" s="993"/>
      <c r="E124" s="959"/>
      <c r="F124" s="960"/>
    </row>
    <row r="125" spans="1:6" ht="12.75">
      <c r="A125" s="956"/>
      <c r="B125" s="991" t="s">
        <v>1725</v>
      </c>
      <c r="C125" s="992"/>
      <c r="D125" s="993"/>
      <c r="E125" s="959"/>
      <c r="F125" s="960"/>
    </row>
    <row r="126" spans="1:6" ht="12.75">
      <c r="A126" s="956"/>
      <c r="B126" s="991" t="s">
        <v>1726</v>
      </c>
      <c r="C126" s="992" t="s">
        <v>520</v>
      </c>
      <c r="D126" s="993">
        <v>1</v>
      </c>
      <c r="E126" s="966"/>
      <c r="F126" s="967">
        <f>D126*E126</f>
        <v>0</v>
      </c>
    </row>
    <row r="127" spans="1:6" ht="12.75">
      <c r="A127" s="956"/>
      <c r="B127" s="991" t="s">
        <v>1727</v>
      </c>
      <c r="C127" s="992"/>
      <c r="D127" s="993"/>
      <c r="E127" s="959"/>
      <c r="F127" s="960"/>
    </row>
    <row r="128" spans="1:6" ht="12.75">
      <c r="A128" s="956"/>
      <c r="B128" s="969" t="s">
        <v>1682</v>
      </c>
      <c r="C128" s="958"/>
      <c r="D128" s="965"/>
      <c r="E128" s="959"/>
      <c r="F128" s="975"/>
    </row>
    <row r="129" spans="1:6" ht="12.75">
      <c r="A129" s="956"/>
      <c r="B129" s="991"/>
      <c r="C129" s="992"/>
      <c r="D129" s="993"/>
      <c r="E129" s="959"/>
      <c r="F129" s="960"/>
    </row>
    <row r="130" spans="1:6" ht="12.75">
      <c r="A130" s="956"/>
      <c r="B130" s="991" t="s">
        <v>1728</v>
      </c>
      <c r="C130" s="992"/>
      <c r="D130" s="993"/>
      <c r="E130" s="959"/>
      <c r="F130" s="960"/>
    </row>
    <row r="131" spans="1:6" ht="12.75">
      <c r="A131" s="956"/>
      <c r="B131" s="991" t="s">
        <v>1729</v>
      </c>
      <c r="C131" s="992"/>
      <c r="D131" s="993"/>
      <c r="E131" s="959"/>
      <c r="F131" s="960"/>
    </row>
    <row r="132" spans="1:6" ht="12.75">
      <c r="A132" s="956"/>
      <c r="B132" s="991" t="s">
        <v>1725</v>
      </c>
      <c r="C132" s="992"/>
      <c r="D132" s="993"/>
      <c r="E132" s="959"/>
      <c r="F132" s="960"/>
    </row>
    <row r="133" spans="1:6" ht="12.75">
      <c r="A133" s="956"/>
      <c r="B133" s="991" t="s">
        <v>1726</v>
      </c>
      <c r="C133" s="992" t="s">
        <v>520</v>
      </c>
      <c r="D133" s="993">
        <v>1</v>
      </c>
      <c r="E133" s="966"/>
      <c r="F133" s="967">
        <f>D133*E133</f>
        <v>0</v>
      </c>
    </row>
    <row r="134" spans="1:6" ht="12.75">
      <c r="A134" s="956"/>
      <c r="B134" s="991" t="s">
        <v>1727</v>
      </c>
      <c r="C134" s="992"/>
      <c r="D134" s="993"/>
      <c r="E134" s="959"/>
      <c r="F134" s="960"/>
    </row>
    <row r="135" spans="1:6" ht="12.75">
      <c r="A135" s="956"/>
      <c r="B135" s="969" t="s">
        <v>1682</v>
      </c>
      <c r="C135" s="992"/>
      <c r="D135" s="993"/>
      <c r="E135" s="959"/>
      <c r="F135" s="960"/>
    </row>
    <row r="136" spans="1:6" ht="12.75">
      <c r="A136" s="956"/>
      <c r="B136" s="991"/>
      <c r="C136" s="992"/>
      <c r="D136" s="993"/>
      <c r="E136" s="959"/>
      <c r="F136" s="960"/>
    </row>
    <row r="137" spans="1:6" ht="25.5">
      <c r="A137" s="962">
        <f>MAX($A$63:A136)+1</f>
        <v>9</v>
      </c>
      <c r="B137" s="991" t="s">
        <v>1730</v>
      </c>
      <c r="C137" s="992"/>
      <c r="D137" s="993"/>
      <c r="E137" s="959"/>
      <c r="F137" s="960"/>
    </row>
    <row r="138" spans="1:6" ht="12.75">
      <c r="A138" s="956"/>
      <c r="B138" s="991" t="s">
        <v>1731</v>
      </c>
      <c r="C138" s="992"/>
      <c r="D138" s="993"/>
      <c r="E138" s="959"/>
      <c r="F138" s="960"/>
    </row>
    <row r="139" spans="1:6" ht="12.75">
      <c r="A139" s="956"/>
      <c r="B139" s="991" t="s">
        <v>1732</v>
      </c>
      <c r="C139" s="992"/>
      <c r="D139" s="993"/>
      <c r="E139" s="959"/>
      <c r="F139" s="960"/>
    </row>
    <row r="140" spans="1:6" ht="12.75">
      <c r="A140" s="956"/>
      <c r="B140" s="991" t="s">
        <v>1733</v>
      </c>
      <c r="C140" s="992" t="s">
        <v>748</v>
      </c>
      <c r="D140" s="993">
        <v>1</v>
      </c>
      <c r="E140" s="966"/>
      <c r="F140" s="967">
        <f>D140*E140</f>
        <v>0</v>
      </c>
    </row>
    <row r="141" spans="1:6" ht="12.75">
      <c r="A141" s="956"/>
      <c r="B141" s="991" t="s">
        <v>1734</v>
      </c>
      <c r="C141" s="992"/>
      <c r="D141" s="993"/>
      <c r="E141" s="959"/>
      <c r="F141" s="967"/>
    </row>
    <row r="142" spans="1:6" ht="12.75">
      <c r="A142" s="956"/>
      <c r="B142" s="991" t="s">
        <v>1735</v>
      </c>
      <c r="C142" s="992"/>
      <c r="D142" s="993"/>
      <c r="E142" s="959"/>
      <c r="F142" s="960"/>
    </row>
    <row r="143" spans="1:6" ht="12.75">
      <c r="A143" s="956"/>
      <c r="B143" s="991" t="s">
        <v>1736</v>
      </c>
      <c r="C143" s="992"/>
      <c r="D143" s="993"/>
      <c r="E143" s="959"/>
      <c r="F143" s="960"/>
    </row>
    <row r="144" spans="1:6" ht="12.75">
      <c r="A144" s="956"/>
      <c r="B144" s="969" t="s">
        <v>1682</v>
      </c>
      <c r="C144" s="958"/>
      <c r="D144" s="965"/>
      <c r="E144" s="959"/>
      <c r="F144" s="975"/>
    </row>
    <row r="145" spans="1:6" ht="12.75">
      <c r="A145" s="956"/>
      <c r="B145" s="991"/>
      <c r="C145" s="992"/>
      <c r="D145" s="993"/>
      <c r="E145" s="959"/>
      <c r="F145" s="960"/>
    </row>
    <row r="146" spans="1:6" ht="63.75">
      <c r="A146" s="962">
        <f>MAX($A$63:A145)+1</f>
        <v>10</v>
      </c>
      <c r="B146" s="991" t="s">
        <v>1737</v>
      </c>
      <c r="C146" s="996"/>
      <c r="D146" s="997"/>
      <c r="E146" s="959"/>
      <c r="F146" s="960"/>
    </row>
    <row r="147" spans="1:6" ht="63.75">
      <c r="A147" s="956"/>
      <c r="B147" s="998" t="s">
        <v>1738</v>
      </c>
      <c r="C147" s="992"/>
      <c r="D147" s="993"/>
      <c r="E147" s="999"/>
      <c r="F147" s="1000"/>
    </row>
    <row r="148" spans="1:6" ht="12.75">
      <c r="A148" s="956"/>
      <c r="B148" s="991" t="s">
        <v>1739</v>
      </c>
      <c r="C148" s="992" t="s">
        <v>520</v>
      </c>
      <c r="D148" s="993">
        <v>1</v>
      </c>
      <c r="E148" s="966"/>
      <c r="F148" s="967">
        <f>D148*E148</f>
        <v>0</v>
      </c>
    </row>
    <row r="149" spans="1:6" ht="12.75">
      <c r="A149" s="956"/>
      <c r="B149" s="991" t="s">
        <v>1740</v>
      </c>
      <c r="C149" s="996"/>
      <c r="D149" s="997"/>
      <c r="E149" s="959"/>
      <c r="F149" s="960"/>
    </row>
    <row r="150" spans="1:6" ht="12.75">
      <c r="A150" s="956"/>
      <c r="B150" s="969" t="s">
        <v>1682</v>
      </c>
      <c r="C150" s="996"/>
      <c r="D150" s="997"/>
      <c r="E150" s="959"/>
      <c r="F150" s="960"/>
    </row>
    <row r="151" spans="1:6" ht="12.75">
      <c r="A151" s="956"/>
      <c r="B151" s="969"/>
      <c r="C151" s="996"/>
      <c r="D151" s="997"/>
      <c r="E151" s="959"/>
      <c r="F151" s="960"/>
    </row>
    <row r="152" spans="1:6" ht="12.75">
      <c r="A152" s="956"/>
      <c r="B152" s="991" t="s">
        <v>1741</v>
      </c>
      <c r="C152" s="992" t="s">
        <v>520</v>
      </c>
      <c r="D152" s="993">
        <v>1</v>
      </c>
      <c r="E152" s="966"/>
      <c r="F152" s="967">
        <f>D152*E152</f>
        <v>0</v>
      </c>
    </row>
    <row r="153" spans="1:6" ht="12.75">
      <c r="A153" s="956"/>
      <c r="B153" s="991" t="s">
        <v>1740</v>
      </c>
      <c r="C153" s="996"/>
      <c r="D153" s="997"/>
      <c r="E153" s="959"/>
      <c r="F153" s="960"/>
    </row>
    <row r="154" spans="1:6" ht="12.75">
      <c r="A154" s="956"/>
      <c r="B154" s="969" t="s">
        <v>1682</v>
      </c>
      <c r="C154" s="996"/>
      <c r="D154" s="997"/>
      <c r="E154" s="959"/>
      <c r="F154" s="960"/>
    </row>
    <row r="155" spans="1:6" ht="12.75">
      <c r="A155" s="1001"/>
      <c r="B155" s="1002"/>
      <c r="C155" s="1003"/>
      <c r="D155" s="1004"/>
      <c r="E155" s="1005"/>
      <c r="F155" s="1006"/>
    </row>
    <row r="156" spans="1:6" ht="38.25">
      <c r="A156" s="962">
        <f>MAX($A$59:A155)+1</f>
        <v>11</v>
      </c>
      <c r="B156" s="991" t="s">
        <v>1742</v>
      </c>
      <c r="C156" s="992"/>
      <c r="D156" s="993"/>
      <c r="E156" s="959"/>
      <c r="F156" s="960"/>
    </row>
    <row r="157" spans="1:6" ht="12.75">
      <c r="A157" s="956"/>
      <c r="B157" s="991" t="s">
        <v>1743</v>
      </c>
      <c r="C157" s="992" t="s">
        <v>520</v>
      </c>
      <c r="D157" s="993">
        <v>1</v>
      </c>
      <c r="E157" s="966"/>
      <c r="F157" s="967">
        <f>D157*E157</f>
        <v>0</v>
      </c>
    </row>
    <row r="158" spans="1:6" ht="12.75">
      <c r="A158" s="956"/>
      <c r="B158" s="973" t="s">
        <v>1744</v>
      </c>
      <c r="C158" s="996"/>
      <c r="D158" s="997"/>
      <c r="E158" s="959"/>
      <c r="F158" s="960"/>
    </row>
    <row r="159" spans="1:6" ht="12.75">
      <c r="A159" s="956"/>
      <c r="B159" s="969" t="s">
        <v>1682</v>
      </c>
      <c r="C159" s="996"/>
      <c r="D159" s="997"/>
      <c r="E159" s="959"/>
      <c r="F159" s="960"/>
    </row>
    <row r="160" spans="1:6" ht="12.75">
      <c r="A160" s="956"/>
      <c r="B160" s="991"/>
      <c r="C160" s="992"/>
      <c r="D160" s="993"/>
      <c r="E160" s="959"/>
      <c r="F160" s="960"/>
    </row>
    <row r="161" spans="1:6" ht="25.5">
      <c r="A161" s="962">
        <f>MAX($A$63:A160)+1</f>
        <v>12</v>
      </c>
      <c r="B161" s="1007" t="s">
        <v>1745</v>
      </c>
      <c r="C161" s="992"/>
      <c r="D161" s="993"/>
      <c r="E161" s="959"/>
      <c r="F161" s="960"/>
    </row>
    <row r="162" spans="1:6" ht="12.75">
      <c r="A162" s="956"/>
      <c r="B162" s="991" t="s">
        <v>1746</v>
      </c>
      <c r="C162" s="992" t="s">
        <v>520</v>
      </c>
      <c r="D162" s="993">
        <v>5</v>
      </c>
      <c r="E162" s="1008"/>
      <c r="F162" s="967">
        <f>D162*E162</f>
        <v>0</v>
      </c>
    </row>
    <row r="163" spans="1:6" ht="12.75">
      <c r="A163" s="956"/>
      <c r="B163" s="991" t="s">
        <v>1747</v>
      </c>
      <c r="C163" s="992" t="s">
        <v>520</v>
      </c>
      <c r="D163" s="993">
        <v>4</v>
      </c>
      <c r="E163" s="1008"/>
      <c r="F163" s="967">
        <f>D163*E163</f>
        <v>0</v>
      </c>
    </row>
    <row r="164" spans="1:6" ht="12.75">
      <c r="A164" s="956"/>
      <c r="B164" s="991"/>
      <c r="C164" s="992"/>
      <c r="D164" s="993"/>
      <c r="E164" s="959"/>
      <c r="F164" s="960"/>
    </row>
    <row r="165" spans="1:6" ht="38.25">
      <c r="A165" s="962">
        <f>MAX($A$63:A164)+1</f>
        <v>13</v>
      </c>
      <c r="B165" s="991" t="s">
        <v>1748</v>
      </c>
      <c r="C165" s="992"/>
      <c r="D165" s="993"/>
      <c r="E165" s="959"/>
      <c r="F165" s="960"/>
    </row>
    <row r="166" spans="1:6" ht="12.75">
      <c r="A166" s="956"/>
      <c r="B166" s="991" t="s">
        <v>1749</v>
      </c>
      <c r="C166" s="992" t="s">
        <v>520</v>
      </c>
      <c r="D166" s="993">
        <v>8</v>
      </c>
      <c r="E166" s="966"/>
      <c r="F166" s="967">
        <f>D166*E166</f>
        <v>0</v>
      </c>
    </row>
    <row r="167" spans="1:6" ht="12.75">
      <c r="A167" s="956"/>
      <c r="B167" s="973"/>
      <c r="C167" s="992"/>
      <c r="D167" s="993"/>
      <c r="E167" s="959"/>
      <c r="F167" s="960"/>
    </row>
    <row r="168" spans="1:6" ht="25.5">
      <c r="A168" s="962">
        <f>MAX($A$63:A167)+1</f>
        <v>14</v>
      </c>
      <c r="B168" s="991" t="s">
        <v>1750</v>
      </c>
      <c r="C168" s="992"/>
      <c r="D168" s="993"/>
      <c r="E168" s="959"/>
      <c r="F168" s="960"/>
    </row>
    <row r="169" spans="1:6" ht="12.75">
      <c r="A169" s="956"/>
      <c r="B169" s="991" t="s">
        <v>1751</v>
      </c>
      <c r="C169" s="992" t="s">
        <v>520</v>
      </c>
      <c r="D169" s="993">
        <v>1</v>
      </c>
      <c r="E169" s="966"/>
      <c r="F169" s="967">
        <f>D169*E169</f>
        <v>0</v>
      </c>
    </row>
    <row r="170" spans="1:6" ht="12.75">
      <c r="A170" s="956"/>
      <c r="B170" s="991" t="s">
        <v>1752</v>
      </c>
      <c r="C170" s="992" t="s">
        <v>520</v>
      </c>
      <c r="D170" s="993">
        <v>1</v>
      </c>
      <c r="E170" s="966"/>
      <c r="F170" s="967">
        <f>D170*E170</f>
        <v>0</v>
      </c>
    </row>
    <row r="171" spans="1:6" ht="12.75">
      <c r="A171" s="956"/>
      <c r="B171" s="991"/>
      <c r="C171" s="992"/>
      <c r="D171" s="993"/>
      <c r="E171" s="959"/>
      <c r="F171" s="960"/>
    </row>
    <row r="172" spans="1:6" ht="25.5">
      <c r="A172" s="962">
        <f>MAX($A$63:A171)+1</f>
        <v>15</v>
      </c>
      <c r="B172" s="991" t="s">
        <v>1753</v>
      </c>
      <c r="C172" s="992"/>
      <c r="D172" s="993"/>
      <c r="E172" s="959"/>
      <c r="F172" s="960"/>
    </row>
    <row r="173" spans="1:6" ht="12.75">
      <c r="A173" s="956"/>
      <c r="B173" s="991" t="s">
        <v>1751</v>
      </c>
      <c r="C173" s="992" t="s">
        <v>520</v>
      </c>
      <c r="D173" s="993">
        <v>1</v>
      </c>
      <c r="E173" s="966"/>
      <c r="F173" s="967">
        <f>D173*E173</f>
        <v>0</v>
      </c>
    </row>
    <row r="174" spans="1:6" ht="12.75">
      <c r="A174" s="956"/>
      <c r="B174" s="991" t="s">
        <v>1752</v>
      </c>
      <c r="C174" s="992" t="s">
        <v>520</v>
      </c>
      <c r="D174" s="993">
        <v>1</v>
      </c>
      <c r="E174" s="966"/>
      <c r="F174" s="967">
        <f>D174*E174</f>
        <v>0</v>
      </c>
    </row>
    <row r="175" spans="1:6" ht="12.75">
      <c r="A175" s="956"/>
      <c r="B175" s="991"/>
      <c r="C175" s="992"/>
      <c r="D175" s="993"/>
      <c r="E175" s="959"/>
      <c r="F175" s="960"/>
    </row>
    <row r="176" spans="1:6" ht="38.25">
      <c r="A176" s="962">
        <f>MAX($A$63:A175)+1</f>
        <v>16</v>
      </c>
      <c r="B176" s="1009" t="s">
        <v>1754</v>
      </c>
      <c r="C176" s="992" t="s">
        <v>520</v>
      </c>
      <c r="D176" s="993">
        <v>4</v>
      </c>
      <c r="E176" s="966"/>
      <c r="F176" s="967">
        <f>D176*E176</f>
        <v>0</v>
      </c>
    </row>
    <row r="177" spans="1:6" ht="12.75">
      <c r="A177" s="956"/>
      <c r="B177" s="1009"/>
      <c r="C177" s="992"/>
      <c r="D177" s="993"/>
      <c r="E177" s="1010"/>
      <c r="F177" s="1011"/>
    </row>
    <row r="178" spans="1:6" ht="25.5">
      <c r="A178" s="962">
        <f>MAX($A$63:A177)+1</f>
        <v>17</v>
      </c>
      <c r="B178" s="1009" t="s">
        <v>1755</v>
      </c>
      <c r="C178" s="992"/>
      <c r="D178" s="993"/>
      <c r="E178" s="1010"/>
      <c r="F178" s="1011"/>
    </row>
    <row r="179" spans="1:6" ht="12.75">
      <c r="A179" s="956"/>
      <c r="B179" s="1009" t="s">
        <v>1756</v>
      </c>
      <c r="C179" s="992" t="s">
        <v>520</v>
      </c>
      <c r="D179" s="993">
        <v>6</v>
      </c>
      <c r="E179" s="966"/>
      <c r="F179" s="967">
        <f>D179*E179</f>
        <v>0</v>
      </c>
    </row>
    <row r="180" spans="1:6" ht="12.75">
      <c r="A180" s="1012"/>
      <c r="B180" s="1013"/>
      <c r="C180" s="1014"/>
      <c r="D180" s="1015"/>
      <c r="E180" s="1051"/>
      <c r="F180" s="1016"/>
    </row>
    <row r="181" spans="1:6" ht="51">
      <c r="A181" s="1017">
        <f>MAX($A$61:A180)+1</f>
        <v>18</v>
      </c>
      <c r="B181" s="1018" t="s">
        <v>2270</v>
      </c>
      <c r="C181" s="1014"/>
      <c r="D181" s="1015"/>
      <c r="E181" s="999"/>
      <c r="F181" s="1019"/>
    </row>
    <row r="182" spans="1:6" ht="102">
      <c r="A182" s="1020"/>
      <c r="B182" s="1018" t="s">
        <v>2271</v>
      </c>
      <c r="C182" s="1021"/>
      <c r="D182" s="1022"/>
      <c r="E182" s="999"/>
      <c r="F182" s="1019"/>
    </row>
    <row r="183" spans="1:6" ht="12.75">
      <c r="A183" s="907"/>
      <c r="B183" s="1023" t="s">
        <v>1757</v>
      </c>
      <c r="C183" s="944" t="s">
        <v>650</v>
      </c>
      <c r="D183" s="977">
        <v>2</v>
      </c>
      <c r="E183" s="966"/>
      <c r="F183" s="967">
        <f>D183*E183</f>
        <v>0</v>
      </c>
    </row>
    <row r="184" spans="1:6" ht="12.75">
      <c r="A184" s="907"/>
      <c r="B184" s="1023" t="s">
        <v>1758</v>
      </c>
      <c r="C184" s="944" t="s">
        <v>650</v>
      </c>
      <c r="D184" s="977">
        <v>16</v>
      </c>
      <c r="E184" s="982"/>
      <c r="F184" s="967">
        <f>D184*E184</f>
        <v>0</v>
      </c>
    </row>
    <row r="185" spans="1:6" ht="12.75">
      <c r="A185" s="907"/>
      <c r="B185" s="1023" t="s">
        <v>1759</v>
      </c>
      <c r="C185" s="944" t="s">
        <v>650</v>
      </c>
      <c r="D185" s="977">
        <v>12</v>
      </c>
      <c r="E185" s="982"/>
      <c r="F185" s="967">
        <f>D185*E185</f>
        <v>0</v>
      </c>
    </row>
    <row r="186" spans="1:6" ht="12.75">
      <c r="A186" s="1012"/>
      <c r="B186" s="1018" t="s">
        <v>1760</v>
      </c>
      <c r="C186" s="1021"/>
      <c r="D186" s="1022"/>
      <c r="E186" s="1041"/>
      <c r="F186" s="1016"/>
    </row>
    <row r="187" spans="1:6" ht="12.75">
      <c r="A187" s="907"/>
      <c r="B187" s="1024" t="s">
        <v>1682</v>
      </c>
      <c r="C187" s="944"/>
      <c r="D187" s="977"/>
      <c r="E187" s="1065"/>
      <c r="F187" s="936"/>
    </row>
    <row r="188" spans="1:6" ht="12.75">
      <c r="A188" s="907"/>
      <c r="B188" s="1025"/>
      <c r="C188" s="950"/>
      <c r="D188" s="984"/>
      <c r="E188" s="1065"/>
      <c r="F188" s="936"/>
    </row>
    <row r="189" spans="1:6" ht="63.75">
      <c r="A189" s="1017">
        <f>MAX($A$61:A188)+1</f>
        <v>19</v>
      </c>
      <c r="B189" s="1024" t="s">
        <v>1761</v>
      </c>
      <c r="C189" s="944"/>
      <c r="D189" s="977"/>
      <c r="E189" s="1065"/>
      <c r="F189" s="936"/>
    </row>
    <row r="190" spans="1:6" ht="51">
      <c r="A190" s="1017"/>
      <c r="B190" s="1024" t="s">
        <v>1762</v>
      </c>
      <c r="C190" s="944"/>
      <c r="D190" s="977"/>
      <c r="E190" s="1065"/>
      <c r="F190" s="936"/>
    </row>
    <row r="191" spans="1:6" ht="12.75">
      <c r="A191" s="907"/>
      <c r="B191" s="1024" t="s">
        <v>1763</v>
      </c>
      <c r="C191" s="944"/>
      <c r="D191" s="977"/>
      <c r="E191" s="1065"/>
      <c r="F191" s="936"/>
    </row>
    <row r="192" spans="1:6" ht="12.75">
      <c r="A192" s="907"/>
      <c r="B192" s="1023" t="s">
        <v>1764</v>
      </c>
      <c r="C192" s="944" t="s">
        <v>650</v>
      </c>
      <c r="D192" s="977">
        <v>2</v>
      </c>
      <c r="E192" s="982"/>
      <c r="F192" s="967">
        <f>D192*E192</f>
        <v>0</v>
      </c>
    </row>
    <row r="193" spans="1:6" ht="12.75">
      <c r="A193" s="907"/>
      <c r="B193" s="1023" t="s">
        <v>1758</v>
      </c>
      <c r="C193" s="944" t="s">
        <v>650</v>
      </c>
      <c r="D193" s="977">
        <v>16</v>
      </c>
      <c r="E193" s="982"/>
      <c r="F193" s="967">
        <f>D193*E193</f>
        <v>0</v>
      </c>
    </row>
    <row r="194" spans="1:6" ht="12.75">
      <c r="A194" s="907"/>
      <c r="B194" s="1023" t="s">
        <v>1765</v>
      </c>
      <c r="C194" s="944" t="s">
        <v>650</v>
      </c>
      <c r="D194" s="977">
        <v>12</v>
      </c>
      <c r="E194" s="982"/>
      <c r="F194" s="967">
        <f>D194*E194</f>
        <v>0</v>
      </c>
    </row>
    <row r="195" spans="1:6" ht="12.75">
      <c r="A195" s="907"/>
      <c r="B195" s="969" t="s">
        <v>1766</v>
      </c>
      <c r="C195" s="950"/>
      <c r="D195" s="984"/>
      <c r="E195" s="1065"/>
      <c r="F195" s="936"/>
    </row>
    <row r="196" spans="1:6" ht="12.75">
      <c r="A196" s="907"/>
      <c r="B196" s="1024" t="s">
        <v>1682</v>
      </c>
      <c r="C196" s="950"/>
      <c r="D196" s="984"/>
      <c r="E196" s="1065"/>
      <c r="F196" s="936"/>
    </row>
    <row r="197" spans="1:6" ht="12.75">
      <c r="A197" s="956"/>
      <c r="B197" s="973"/>
      <c r="C197" s="992"/>
      <c r="D197" s="993"/>
      <c r="E197" s="959"/>
      <c r="F197" s="960"/>
    </row>
    <row r="198" spans="1:6" ht="38.25">
      <c r="A198" s="962">
        <f>MAX($A$63:A197)+1</f>
        <v>20</v>
      </c>
      <c r="B198" s="1007" t="s">
        <v>1767</v>
      </c>
      <c r="C198" s="992" t="s">
        <v>702</v>
      </c>
      <c r="D198" s="993">
        <v>10</v>
      </c>
      <c r="E198" s="966"/>
      <c r="F198" s="967">
        <f>D198*E198</f>
        <v>0</v>
      </c>
    </row>
    <row r="199" spans="1:6" ht="12.75">
      <c r="A199" s="956"/>
      <c r="B199" s="1007"/>
      <c r="C199" s="992"/>
      <c r="D199" s="993"/>
      <c r="E199" s="959"/>
      <c r="F199" s="960"/>
    </row>
    <row r="200" spans="1:6" ht="38.25">
      <c r="A200" s="962">
        <f>MAX($A$63:A199)+1</f>
        <v>21</v>
      </c>
      <c r="B200" s="1007" t="s">
        <v>1768</v>
      </c>
      <c r="C200" s="992"/>
      <c r="D200" s="993"/>
      <c r="E200" s="959"/>
      <c r="F200" s="960"/>
    </row>
    <row r="201" spans="1:6" ht="12.75">
      <c r="A201" s="956"/>
      <c r="B201" s="1007" t="s">
        <v>1769</v>
      </c>
      <c r="C201" s="992" t="s">
        <v>520</v>
      </c>
      <c r="D201" s="993">
        <v>2</v>
      </c>
      <c r="E201" s="966"/>
      <c r="F201" s="967">
        <f>D201*E201</f>
        <v>0</v>
      </c>
    </row>
    <row r="202" spans="1:6" ht="12.75">
      <c r="A202" s="956"/>
      <c r="B202" s="1007" t="s">
        <v>1770</v>
      </c>
      <c r="C202" s="992"/>
      <c r="D202" s="993"/>
      <c r="E202" s="959"/>
      <c r="F202" s="960"/>
    </row>
    <row r="203" spans="1:6" ht="12.75">
      <c r="A203" s="956"/>
      <c r="B203" s="1007" t="s">
        <v>1771</v>
      </c>
      <c r="C203" s="992"/>
      <c r="D203" s="993"/>
      <c r="E203" s="959"/>
      <c r="F203" s="960"/>
    </row>
    <row r="204" spans="1:6" ht="12.75">
      <c r="A204" s="956"/>
      <c r="B204" s="1026" t="s">
        <v>1682</v>
      </c>
      <c r="C204" s="992"/>
      <c r="D204" s="993"/>
      <c r="E204" s="959"/>
      <c r="F204" s="960"/>
    </row>
    <row r="205" spans="1:6" ht="12.75">
      <c r="A205" s="956"/>
      <c r="B205" s="1007"/>
      <c r="C205" s="992"/>
      <c r="D205" s="993"/>
      <c r="E205" s="959"/>
      <c r="F205" s="960"/>
    </row>
    <row r="206" spans="1:6" ht="25.5">
      <c r="A206" s="962">
        <f>MAX($A$63:A205)+1</f>
        <v>22</v>
      </c>
      <c r="B206" s="1027" t="s">
        <v>1772</v>
      </c>
      <c r="C206" s="992"/>
      <c r="D206" s="993"/>
      <c r="E206" s="1010"/>
      <c r="F206" s="1011"/>
    </row>
    <row r="207" spans="1:6" ht="12.75">
      <c r="A207" s="956"/>
      <c r="B207" s="1027" t="s">
        <v>1773</v>
      </c>
      <c r="C207" s="992" t="s">
        <v>1697</v>
      </c>
      <c r="D207" s="993">
        <v>4</v>
      </c>
      <c r="E207" s="966"/>
      <c r="F207" s="967">
        <f>D207*E207</f>
        <v>0</v>
      </c>
    </row>
    <row r="208" spans="1:6" ht="12.75">
      <c r="A208" s="956"/>
      <c r="B208" s="1007"/>
      <c r="C208" s="992"/>
      <c r="D208" s="993"/>
      <c r="E208" s="959"/>
      <c r="F208" s="960"/>
    </row>
    <row r="209" spans="1:6" ht="25.5">
      <c r="A209" s="962">
        <f>MAX($A$63:A208)+1</f>
        <v>23</v>
      </c>
      <c r="B209" s="1007" t="s">
        <v>1774</v>
      </c>
      <c r="C209" s="992" t="s">
        <v>520</v>
      </c>
      <c r="D209" s="993">
        <v>1</v>
      </c>
      <c r="E209" s="966"/>
      <c r="F209" s="967">
        <f>D209*E209</f>
        <v>0</v>
      </c>
    </row>
    <row r="210" spans="1:6" ht="12.75">
      <c r="A210" s="962"/>
      <c r="B210" s="1007"/>
      <c r="C210" s="992"/>
      <c r="D210" s="993"/>
      <c r="E210" s="999"/>
      <c r="F210" s="967"/>
    </row>
    <row r="211" spans="1:6" ht="25.5">
      <c r="A211" s="962">
        <f>MAX($A$63:A210)+1</f>
        <v>24</v>
      </c>
      <c r="B211" s="1007" t="s">
        <v>1775</v>
      </c>
      <c r="C211" s="992" t="s">
        <v>520</v>
      </c>
      <c r="D211" s="993">
        <v>2</v>
      </c>
      <c r="E211" s="966"/>
      <c r="F211" s="967">
        <f>D211*E211</f>
        <v>0</v>
      </c>
    </row>
    <row r="212" spans="1:6" ht="12.75">
      <c r="A212" s="956"/>
      <c r="B212" s="1007" t="s">
        <v>1770</v>
      </c>
      <c r="C212" s="992"/>
      <c r="D212" s="993"/>
      <c r="E212" s="959"/>
      <c r="F212" s="960"/>
    </row>
    <row r="213" spans="1:6" ht="12.75">
      <c r="A213" s="956"/>
      <c r="B213" s="1007" t="s">
        <v>1776</v>
      </c>
      <c r="C213" s="992"/>
      <c r="D213" s="993"/>
      <c r="E213" s="959"/>
      <c r="F213" s="960"/>
    </row>
    <row r="214" spans="1:6" ht="12.75">
      <c r="A214" s="956"/>
      <c r="B214" s="1026" t="s">
        <v>1682</v>
      </c>
      <c r="C214" s="992"/>
      <c r="D214" s="993"/>
      <c r="E214" s="959"/>
      <c r="F214" s="960"/>
    </row>
    <row r="215" spans="1:6" ht="12.75">
      <c r="A215" s="956"/>
      <c r="B215" s="1007"/>
      <c r="C215" s="992"/>
      <c r="D215" s="993"/>
      <c r="E215" s="959"/>
      <c r="F215" s="960"/>
    </row>
    <row r="216" spans="1:6" ht="25.5">
      <c r="A216" s="962">
        <f>MAX($A$63:A215)+1</f>
        <v>25</v>
      </c>
      <c r="B216" s="1007" t="s">
        <v>1777</v>
      </c>
      <c r="C216" s="992" t="s">
        <v>748</v>
      </c>
      <c r="D216" s="993">
        <v>2</v>
      </c>
      <c r="E216" s="966"/>
      <c r="F216" s="967">
        <f>D216*E216</f>
        <v>0</v>
      </c>
    </row>
    <row r="217" spans="1:6" ht="12.75">
      <c r="A217" s="956"/>
      <c r="B217" s="1007"/>
      <c r="C217" s="992"/>
      <c r="D217" s="993"/>
      <c r="E217" s="959"/>
      <c r="F217" s="960"/>
    </row>
    <row r="218" spans="1:6" ht="38.25">
      <c r="A218" s="962">
        <f>MAX($A$63:A217)+1</f>
        <v>26</v>
      </c>
      <c r="B218" s="1028" t="s">
        <v>1778</v>
      </c>
      <c r="C218" s="992"/>
      <c r="D218" s="993"/>
      <c r="E218" s="959"/>
      <c r="F218" s="960"/>
    </row>
    <row r="219" spans="1:6" ht="12.75">
      <c r="A219" s="956"/>
      <c r="B219" s="1028" t="s">
        <v>1779</v>
      </c>
      <c r="C219" s="992" t="s">
        <v>520</v>
      </c>
      <c r="D219" s="993">
        <v>1</v>
      </c>
      <c r="E219" s="966"/>
      <c r="F219" s="967">
        <f>D219*E219</f>
        <v>0</v>
      </c>
    </row>
    <row r="220" spans="1:6" ht="12.75">
      <c r="A220" s="956"/>
      <c r="B220" s="1007"/>
      <c r="C220" s="992"/>
      <c r="D220" s="993"/>
      <c r="E220" s="959"/>
      <c r="F220" s="960"/>
    </row>
    <row r="221" spans="1:6" ht="89.25">
      <c r="A221" s="962">
        <f>MAX($A$63:A220)+1</f>
        <v>27</v>
      </c>
      <c r="B221" s="1007" t="s">
        <v>1780</v>
      </c>
      <c r="C221" s="992"/>
      <c r="D221" s="993"/>
      <c r="E221" s="959"/>
      <c r="F221" s="960"/>
    </row>
    <row r="222" spans="1:6" ht="12.75">
      <c r="A222" s="962"/>
      <c r="B222" s="1007" t="s">
        <v>1781</v>
      </c>
      <c r="C222" s="992" t="s">
        <v>748</v>
      </c>
      <c r="D222" s="993">
        <v>1</v>
      </c>
      <c r="E222" s="966"/>
      <c r="F222" s="967">
        <f>D222*E222</f>
        <v>0</v>
      </c>
    </row>
    <row r="223" spans="1:6" ht="12.75">
      <c r="A223" s="1029"/>
      <c r="B223" s="1030"/>
      <c r="C223" s="1031"/>
      <c r="D223" s="1032"/>
      <c r="E223" s="1033"/>
      <c r="F223" s="1034"/>
    </row>
    <row r="224" spans="1:6" ht="12.75">
      <c r="A224" s="956"/>
      <c r="B224" s="957" t="s">
        <v>1782</v>
      </c>
      <c r="C224" s="958"/>
      <c r="D224" s="965"/>
      <c r="E224" s="959"/>
      <c r="F224" s="960"/>
    </row>
    <row r="225" spans="1:6" ht="12.75">
      <c r="A225" s="956"/>
      <c r="B225" s="961"/>
      <c r="C225" s="958"/>
      <c r="D225" s="965"/>
      <c r="E225" s="959"/>
      <c r="F225" s="960"/>
    </row>
    <row r="226" spans="1:6" ht="89.25">
      <c r="A226" s="962">
        <f>MAX($A$63:A225)+1</f>
        <v>28</v>
      </c>
      <c r="B226" s="963" t="s">
        <v>2272</v>
      </c>
      <c r="C226" s="958"/>
      <c r="D226" s="965"/>
      <c r="E226" s="959"/>
      <c r="F226" s="960"/>
    </row>
    <row r="227" spans="1:6" ht="12.75">
      <c r="A227" s="962"/>
      <c r="B227" s="963" t="s">
        <v>1783</v>
      </c>
      <c r="C227" s="958" t="s">
        <v>520</v>
      </c>
      <c r="D227" s="965">
        <v>8</v>
      </c>
      <c r="E227" s="966"/>
      <c r="F227" s="967">
        <f aca="true" t="shared" si="0" ref="F227:F236">D227*E227</f>
        <v>0</v>
      </c>
    </row>
    <row r="228" spans="1:6" ht="12.75">
      <c r="A228" s="962"/>
      <c r="B228" s="963" t="s">
        <v>1784</v>
      </c>
      <c r="C228" s="958" t="s">
        <v>520</v>
      </c>
      <c r="D228" s="965">
        <v>50</v>
      </c>
      <c r="E228" s="966"/>
      <c r="F228" s="967">
        <f t="shared" si="0"/>
        <v>0</v>
      </c>
    </row>
    <row r="229" spans="1:6" ht="12.75">
      <c r="A229" s="962"/>
      <c r="B229" s="963" t="s">
        <v>1785</v>
      </c>
      <c r="C229" s="958" t="s">
        <v>520</v>
      </c>
      <c r="D229" s="965">
        <v>3</v>
      </c>
      <c r="E229" s="966"/>
      <c r="F229" s="967">
        <f t="shared" si="0"/>
        <v>0</v>
      </c>
    </row>
    <row r="230" spans="1:6" ht="12.75">
      <c r="A230" s="962"/>
      <c r="B230" s="963" t="s">
        <v>1786</v>
      </c>
      <c r="C230" s="958" t="s">
        <v>520</v>
      </c>
      <c r="D230" s="965">
        <v>2</v>
      </c>
      <c r="E230" s="966"/>
      <c r="F230" s="967">
        <f t="shared" si="0"/>
        <v>0</v>
      </c>
    </row>
    <row r="231" spans="1:6" ht="12.75">
      <c r="A231" s="962"/>
      <c r="B231" s="963" t="s">
        <v>1787</v>
      </c>
      <c r="C231" s="958" t="s">
        <v>520</v>
      </c>
      <c r="D231" s="965">
        <v>1</v>
      </c>
      <c r="E231" s="966"/>
      <c r="F231" s="967">
        <f t="shared" si="0"/>
        <v>0</v>
      </c>
    </row>
    <row r="232" spans="1:6" ht="12.75">
      <c r="A232" s="962"/>
      <c r="B232" s="963" t="s">
        <v>1788</v>
      </c>
      <c r="C232" s="958" t="s">
        <v>520</v>
      </c>
      <c r="D232" s="965">
        <v>1</v>
      </c>
      <c r="E232" s="966"/>
      <c r="F232" s="967">
        <f t="shared" si="0"/>
        <v>0</v>
      </c>
    </row>
    <row r="233" spans="1:6" ht="12.75">
      <c r="A233" s="956"/>
      <c r="B233" s="963" t="s">
        <v>1789</v>
      </c>
      <c r="C233" s="958" t="s">
        <v>520</v>
      </c>
      <c r="D233" s="965">
        <v>4</v>
      </c>
      <c r="E233" s="966"/>
      <c r="F233" s="967">
        <f t="shared" si="0"/>
        <v>0</v>
      </c>
    </row>
    <row r="234" spans="1:6" ht="12.75">
      <c r="A234" s="956"/>
      <c r="B234" s="963" t="s">
        <v>1790</v>
      </c>
      <c r="C234" s="958" t="s">
        <v>520</v>
      </c>
      <c r="D234" s="965">
        <v>1</v>
      </c>
      <c r="E234" s="966"/>
      <c r="F234" s="967">
        <f t="shared" si="0"/>
        <v>0</v>
      </c>
    </row>
    <row r="235" spans="1:6" ht="12.75">
      <c r="A235" s="956"/>
      <c r="B235" s="963" t="s">
        <v>1791</v>
      </c>
      <c r="C235" s="958" t="s">
        <v>520</v>
      </c>
      <c r="D235" s="965">
        <v>1</v>
      </c>
      <c r="E235" s="966"/>
      <c r="F235" s="967">
        <f t="shared" si="0"/>
        <v>0</v>
      </c>
    </row>
    <row r="236" spans="1:6" ht="12.75">
      <c r="A236" s="956"/>
      <c r="B236" s="963" t="s">
        <v>1792</v>
      </c>
      <c r="C236" s="958" t="s">
        <v>520</v>
      </c>
      <c r="D236" s="965">
        <v>2</v>
      </c>
      <c r="E236" s="966"/>
      <c r="F236" s="967">
        <f t="shared" si="0"/>
        <v>0</v>
      </c>
    </row>
    <row r="237" spans="1:6" ht="12.75">
      <c r="A237" s="956"/>
      <c r="B237" s="974" t="s">
        <v>1793</v>
      </c>
      <c r="C237" s="988"/>
      <c r="D237" s="989"/>
      <c r="E237" s="959"/>
      <c r="F237" s="967"/>
    </row>
    <row r="238" spans="1:6" ht="12.75">
      <c r="A238" s="956"/>
      <c r="B238" s="969" t="s">
        <v>1682</v>
      </c>
      <c r="C238" s="958"/>
      <c r="D238" s="965"/>
      <c r="E238" s="959"/>
      <c r="F238" s="967"/>
    </row>
    <row r="239" spans="1:6" ht="54.75" customHeight="1">
      <c r="A239" s="956"/>
      <c r="B239" s="963"/>
      <c r="C239" s="958"/>
      <c r="D239" s="965"/>
      <c r="E239" s="959"/>
      <c r="F239" s="960"/>
    </row>
    <row r="240" spans="1:6" ht="51">
      <c r="A240" s="962">
        <f>MAX($A$63:A239)+1</f>
        <v>29</v>
      </c>
      <c r="B240" s="1035" t="s">
        <v>2273</v>
      </c>
      <c r="C240" s="971" t="s">
        <v>520</v>
      </c>
      <c r="D240" s="1036">
        <v>68</v>
      </c>
      <c r="E240" s="966"/>
      <c r="F240" s="967">
        <f>D240*E240</f>
        <v>0</v>
      </c>
    </row>
    <row r="241" spans="1:6" ht="12.75">
      <c r="A241" s="956"/>
      <c r="B241" s="1037" t="s">
        <v>1794</v>
      </c>
      <c r="C241" s="971"/>
      <c r="D241" s="1036"/>
      <c r="E241" s="959"/>
      <c r="F241" s="960"/>
    </row>
    <row r="242" spans="1:6" ht="12.75">
      <c r="A242" s="956"/>
      <c r="B242" s="969" t="s">
        <v>1682</v>
      </c>
      <c r="C242" s="971"/>
      <c r="D242" s="1036"/>
      <c r="E242" s="959"/>
      <c r="F242" s="960"/>
    </row>
    <row r="243" spans="1:6" ht="69.75" customHeight="1">
      <c r="A243" s="956"/>
      <c r="B243" s="974"/>
      <c r="C243" s="958"/>
      <c r="D243" s="965"/>
      <c r="E243" s="959"/>
      <c r="F243" s="960"/>
    </row>
    <row r="244" spans="1:6" ht="63.75">
      <c r="A244" s="962">
        <f>MAX($A$63:A243)+1</f>
        <v>30</v>
      </c>
      <c r="B244" s="1038" t="s">
        <v>2274</v>
      </c>
      <c r="C244" s="971" t="s">
        <v>520</v>
      </c>
      <c r="D244" s="1036">
        <v>5</v>
      </c>
      <c r="E244" s="966"/>
      <c r="F244" s="967">
        <f>D244*E244</f>
        <v>0</v>
      </c>
    </row>
    <row r="245" spans="1:6" ht="12.75">
      <c r="A245" s="962"/>
      <c r="B245" s="1038" t="s">
        <v>1795</v>
      </c>
      <c r="C245" s="971"/>
      <c r="D245" s="1036"/>
      <c r="E245" s="959"/>
      <c r="F245" s="1000"/>
    </row>
    <row r="246" spans="1:6" ht="12.75">
      <c r="A246" s="956"/>
      <c r="B246" s="1039" t="s">
        <v>1796</v>
      </c>
      <c r="C246" s="971"/>
      <c r="D246" s="1036"/>
      <c r="E246" s="959"/>
      <c r="F246" s="960"/>
    </row>
    <row r="247" spans="1:6" ht="12.75">
      <c r="A247" s="956"/>
      <c r="B247" s="969" t="s">
        <v>1682</v>
      </c>
      <c r="C247" s="971"/>
      <c r="D247" s="1036"/>
      <c r="E247" s="959"/>
      <c r="F247" s="960"/>
    </row>
    <row r="248" spans="1:6" ht="12.75">
      <c r="A248" s="1040"/>
      <c r="B248" s="991"/>
      <c r="C248" s="971"/>
      <c r="D248" s="1036"/>
      <c r="E248" s="1041"/>
      <c r="F248" s="1042"/>
    </row>
    <row r="249" spans="1:6" ht="38.25">
      <c r="A249" s="962">
        <f>MAX($A$63:A248)+1</f>
        <v>31</v>
      </c>
      <c r="B249" s="974" t="s">
        <v>1797</v>
      </c>
      <c r="C249" s="971"/>
      <c r="D249" s="1036"/>
      <c r="E249" s="1041"/>
      <c r="F249" s="1042"/>
    </row>
    <row r="250" spans="1:6" ht="12.75">
      <c r="A250" s="1040"/>
      <c r="B250" s="974" t="s">
        <v>1798</v>
      </c>
      <c r="C250" s="958" t="s">
        <v>520</v>
      </c>
      <c r="D250" s="965">
        <v>19</v>
      </c>
      <c r="E250" s="966"/>
      <c r="F250" s="967">
        <f>D250*E250</f>
        <v>0</v>
      </c>
    </row>
    <row r="251" spans="1:6" ht="12.75">
      <c r="A251" s="1040"/>
      <c r="B251" s="974" t="s">
        <v>1799</v>
      </c>
      <c r="C251" s="958" t="s">
        <v>520</v>
      </c>
      <c r="D251" s="965">
        <v>3</v>
      </c>
      <c r="E251" s="966"/>
      <c r="F251" s="967">
        <f>D251*E251</f>
        <v>0</v>
      </c>
    </row>
    <row r="252" spans="1:6" ht="12.75">
      <c r="A252" s="1040"/>
      <c r="B252" s="974" t="s">
        <v>1800</v>
      </c>
      <c r="C252" s="958" t="s">
        <v>520</v>
      </c>
      <c r="D252" s="965">
        <v>1</v>
      </c>
      <c r="E252" s="966"/>
      <c r="F252" s="967">
        <f>D252*E252</f>
        <v>0</v>
      </c>
    </row>
    <row r="253" spans="1:6" ht="12.75">
      <c r="A253" s="1040"/>
      <c r="B253" s="974" t="s">
        <v>1801</v>
      </c>
      <c r="C253" s="971"/>
      <c r="D253" s="1036"/>
      <c r="E253" s="1041"/>
      <c r="F253" s="1042"/>
    </row>
    <row r="254" spans="1:6" ht="12.75">
      <c r="A254" s="1040"/>
      <c r="B254" s="969" t="s">
        <v>1682</v>
      </c>
      <c r="C254" s="971"/>
      <c r="D254" s="1036"/>
      <c r="E254" s="1041"/>
      <c r="F254" s="1042"/>
    </row>
    <row r="255" spans="1:6" ht="12.75">
      <c r="A255" s="1043"/>
      <c r="B255" s="974"/>
      <c r="C255" s="992"/>
      <c r="D255" s="993"/>
      <c r="E255" s="1041"/>
      <c r="F255" s="1044"/>
    </row>
    <row r="256" spans="1:6" ht="63.75">
      <c r="A256" s="1045">
        <f>MAX($A$63:A255)+1</f>
        <v>32</v>
      </c>
      <c r="B256" s="991" t="s">
        <v>1802</v>
      </c>
      <c r="C256" s="992"/>
      <c r="D256" s="993"/>
      <c r="E256" s="959"/>
      <c r="F256" s="960"/>
    </row>
    <row r="257" spans="1:6" ht="12.75">
      <c r="A257" s="956"/>
      <c r="B257" s="991" t="s">
        <v>1803</v>
      </c>
      <c r="C257" s="992" t="s">
        <v>520</v>
      </c>
      <c r="D257" s="993">
        <v>23</v>
      </c>
      <c r="E257" s="966"/>
      <c r="F257" s="967">
        <f>D257*E257</f>
        <v>0</v>
      </c>
    </row>
    <row r="258" spans="1:6" ht="12.75">
      <c r="A258" s="956"/>
      <c r="B258" s="991" t="s">
        <v>1804</v>
      </c>
      <c r="C258" s="992"/>
      <c r="D258" s="993"/>
      <c r="E258" s="959"/>
      <c r="F258" s="960"/>
    </row>
    <row r="259" spans="1:6" ht="12.75">
      <c r="A259" s="1040"/>
      <c r="B259" s="969" t="s">
        <v>1682</v>
      </c>
      <c r="C259" s="992"/>
      <c r="D259" s="993"/>
      <c r="E259" s="1041"/>
      <c r="F259" s="1042"/>
    </row>
    <row r="260" spans="1:6" ht="12.75">
      <c r="A260" s="956"/>
      <c r="B260" s="973"/>
      <c r="C260" s="971"/>
      <c r="D260" s="1036"/>
      <c r="E260" s="959"/>
      <c r="F260" s="960"/>
    </row>
    <row r="261" spans="1:6" ht="38.25">
      <c r="A261" s="962">
        <f>MAX($A$63:A260)+1</f>
        <v>33</v>
      </c>
      <c r="B261" s="991" t="s">
        <v>2275</v>
      </c>
      <c r="C261" s="971"/>
      <c r="D261" s="1036"/>
      <c r="E261" s="959"/>
      <c r="F261" s="960"/>
    </row>
    <row r="262" spans="1:6" ht="12.75">
      <c r="A262" s="956"/>
      <c r="B262" s="1046" t="s">
        <v>1805</v>
      </c>
      <c r="C262" s="971"/>
      <c r="D262" s="1036"/>
      <c r="E262" s="959"/>
      <c r="F262" s="960"/>
    </row>
    <row r="263" spans="1:6" ht="12.75">
      <c r="A263" s="956"/>
      <c r="B263" s="1046" t="s">
        <v>1806</v>
      </c>
      <c r="C263" s="971"/>
      <c r="D263" s="1036"/>
      <c r="E263" s="959"/>
      <c r="F263" s="960"/>
    </row>
    <row r="264" spans="1:6" ht="12.75">
      <c r="A264" s="956"/>
      <c r="B264" s="1046" t="s">
        <v>1807</v>
      </c>
      <c r="C264" s="971"/>
      <c r="D264" s="1036"/>
      <c r="E264" s="959"/>
      <c r="F264" s="960"/>
    </row>
    <row r="265" spans="1:6" ht="12.75">
      <c r="A265" s="956"/>
      <c r="B265" s="1047" t="s">
        <v>1808</v>
      </c>
      <c r="C265" s="971"/>
      <c r="D265" s="1036"/>
      <c r="E265" s="959"/>
      <c r="F265" s="960"/>
    </row>
    <row r="266" spans="1:6" ht="12.75">
      <c r="A266" s="956"/>
      <c r="B266" s="1046" t="s">
        <v>1809</v>
      </c>
      <c r="C266" s="971"/>
      <c r="D266" s="1036"/>
      <c r="E266" s="959"/>
      <c r="F266" s="960"/>
    </row>
    <row r="267" spans="1:6" ht="25.5">
      <c r="A267" s="956"/>
      <c r="B267" s="1046" t="s">
        <v>1810</v>
      </c>
      <c r="C267" s="971"/>
      <c r="D267" s="1036"/>
      <c r="E267" s="959"/>
      <c r="F267" s="960"/>
    </row>
    <row r="268" spans="1:6" ht="12.75">
      <c r="A268" s="956"/>
      <c r="B268" s="1046" t="s">
        <v>1811</v>
      </c>
      <c r="C268" s="971"/>
      <c r="D268" s="1036"/>
      <c r="E268" s="959"/>
      <c r="F268" s="960"/>
    </row>
    <row r="269" spans="1:6" ht="12.75">
      <c r="A269" s="956"/>
      <c r="B269" s="1046" t="s">
        <v>1812</v>
      </c>
      <c r="C269" s="971"/>
      <c r="D269" s="1036"/>
      <c r="E269" s="959"/>
      <c r="F269" s="960"/>
    </row>
    <row r="270" spans="1:6" ht="12.75">
      <c r="A270" s="956"/>
      <c r="B270" s="1046"/>
      <c r="C270" s="971"/>
      <c r="D270" s="1036"/>
      <c r="E270" s="959"/>
      <c r="F270" s="960"/>
    </row>
    <row r="271" spans="1:6" ht="12.75">
      <c r="A271" s="956"/>
      <c r="B271" s="1046" t="s">
        <v>1813</v>
      </c>
      <c r="C271" s="971"/>
      <c r="D271" s="1036"/>
      <c r="E271" s="959"/>
      <c r="F271" s="960"/>
    </row>
    <row r="272" spans="1:6" ht="12.75">
      <c r="A272" s="956"/>
      <c r="B272" s="1046" t="s">
        <v>1814</v>
      </c>
      <c r="C272" s="971" t="s">
        <v>748</v>
      </c>
      <c r="D272" s="1036">
        <v>4</v>
      </c>
      <c r="E272" s="966"/>
      <c r="F272" s="967">
        <f>D272*E272</f>
        <v>0</v>
      </c>
    </row>
    <row r="273" spans="1:6" ht="12.75">
      <c r="A273" s="1040"/>
      <c r="B273" s="974" t="s">
        <v>1815</v>
      </c>
      <c r="C273" s="971"/>
      <c r="D273" s="1036"/>
      <c r="E273" s="1041"/>
      <c r="F273" s="1042"/>
    </row>
    <row r="274" spans="1:6" ht="12.75">
      <c r="A274" s="1040"/>
      <c r="B274" s="969" t="s">
        <v>1682</v>
      </c>
      <c r="C274" s="971"/>
      <c r="D274" s="1036"/>
      <c r="E274" s="1041"/>
      <c r="F274" s="1042"/>
    </row>
    <row r="275" spans="1:6" ht="12.75">
      <c r="A275" s="956"/>
      <c r="B275" s="1046"/>
      <c r="C275" s="971"/>
      <c r="D275" s="1036"/>
      <c r="E275" s="959"/>
      <c r="F275" s="960"/>
    </row>
    <row r="276" spans="1:6" ht="12.75">
      <c r="A276" s="956"/>
      <c r="B276" s="1046" t="s">
        <v>1816</v>
      </c>
      <c r="C276" s="971"/>
      <c r="D276" s="1036"/>
      <c r="E276" s="959"/>
      <c r="F276" s="960"/>
    </row>
    <row r="277" spans="1:6" ht="12.75">
      <c r="A277" s="956"/>
      <c r="B277" s="1046" t="s">
        <v>1817</v>
      </c>
      <c r="C277" s="971" t="s">
        <v>748</v>
      </c>
      <c r="D277" s="1036">
        <v>2</v>
      </c>
      <c r="E277" s="966"/>
      <c r="F277" s="967">
        <f>D277*E277</f>
        <v>0</v>
      </c>
    </row>
    <row r="278" spans="1:6" ht="12.75">
      <c r="A278" s="1040"/>
      <c r="B278" s="974" t="s">
        <v>1815</v>
      </c>
      <c r="C278" s="971"/>
      <c r="D278" s="1036"/>
      <c r="E278" s="1041"/>
      <c r="F278" s="1042"/>
    </row>
    <row r="279" spans="1:6" ht="12.75">
      <c r="A279" s="1040"/>
      <c r="B279" s="969" t="s">
        <v>1682</v>
      </c>
      <c r="C279" s="971"/>
      <c r="D279" s="1036"/>
      <c r="E279" s="1041"/>
      <c r="F279" s="1042"/>
    </row>
    <row r="280" spans="1:6" ht="12.75">
      <c r="A280" s="956"/>
      <c r="B280" s="973"/>
      <c r="C280" s="971"/>
      <c r="D280" s="1036"/>
      <c r="E280" s="959"/>
      <c r="F280" s="960"/>
    </row>
    <row r="281" spans="1:6" ht="25.5">
      <c r="A281" s="962">
        <f>MAX($A$63:A280)+1</f>
        <v>34</v>
      </c>
      <c r="B281" s="1007" t="s">
        <v>1818</v>
      </c>
      <c r="C281" s="971"/>
      <c r="D281" s="1036"/>
      <c r="E281" s="959"/>
      <c r="F281" s="960"/>
    </row>
    <row r="282" spans="1:6" ht="12.75">
      <c r="A282" s="956"/>
      <c r="B282" s="1048" t="s">
        <v>1819</v>
      </c>
      <c r="C282" s="971"/>
      <c r="D282" s="1036"/>
      <c r="E282" s="959"/>
      <c r="F282" s="1000"/>
    </row>
    <row r="283" spans="1:6" ht="12.75">
      <c r="A283" s="956"/>
      <c r="B283" s="1007" t="s">
        <v>1820</v>
      </c>
      <c r="C283" s="971" t="s">
        <v>520</v>
      </c>
      <c r="D283" s="1036">
        <v>10</v>
      </c>
      <c r="E283" s="966"/>
      <c r="F283" s="967">
        <f>D283*E283</f>
        <v>0</v>
      </c>
    </row>
    <row r="284" spans="1:6" ht="12.75">
      <c r="A284" s="956"/>
      <c r="B284" s="1007" t="s">
        <v>1821</v>
      </c>
      <c r="C284" s="971" t="s">
        <v>520</v>
      </c>
      <c r="D284" s="1036">
        <v>15</v>
      </c>
      <c r="E284" s="966"/>
      <c r="F284" s="967">
        <f>D284*E284</f>
        <v>0</v>
      </c>
    </row>
    <row r="285" spans="1:6" ht="12.75">
      <c r="A285" s="962"/>
      <c r="B285" s="1048"/>
      <c r="C285" s="971"/>
      <c r="D285" s="1036"/>
      <c r="E285" s="1041"/>
      <c r="F285" s="1042"/>
    </row>
    <row r="286" spans="1:6" ht="38.25">
      <c r="A286" s="962">
        <f>MAX($A$63:A285)+1</f>
        <v>35</v>
      </c>
      <c r="B286" s="1049" t="s">
        <v>1822</v>
      </c>
      <c r="C286" s="992"/>
      <c r="D286" s="993"/>
      <c r="E286" s="959"/>
      <c r="F286" s="960"/>
    </row>
    <row r="287" spans="1:6" ht="12.75">
      <c r="A287" s="956"/>
      <c r="B287" s="1049" t="s">
        <v>1823</v>
      </c>
      <c r="C287" s="992" t="s">
        <v>520</v>
      </c>
      <c r="D287" s="993">
        <v>12</v>
      </c>
      <c r="E287" s="966"/>
      <c r="F287" s="967">
        <f>D287*E287</f>
        <v>0</v>
      </c>
    </row>
    <row r="288" spans="1:6" ht="12.75">
      <c r="A288" s="1040"/>
      <c r="B288" s="974" t="s">
        <v>1824</v>
      </c>
      <c r="C288" s="971"/>
      <c r="D288" s="1036"/>
      <c r="E288" s="1041"/>
      <c r="F288" s="1042"/>
    </row>
    <row r="289" spans="1:6" ht="12.75">
      <c r="A289" s="1040"/>
      <c r="B289" s="969" t="s">
        <v>1682</v>
      </c>
      <c r="C289" s="971"/>
      <c r="D289" s="1036"/>
      <c r="E289" s="1041"/>
      <c r="F289" s="1042"/>
    </row>
    <row r="290" spans="1:6" ht="12.75">
      <c r="A290" s="956"/>
      <c r="B290" s="1028"/>
      <c r="C290" s="992"/>
      <c r="D290" s="993"/>
      <c r="E290" s="959"/>
      <c r="F290" s="960"/>
    </row>
    <row r="291" spans="1:6" ht="25.5">
      <c r="A291" s="962">
        <f>MAX($A$63:A290)+1</f>
        <v>36</v>
      </c>
      <c r="B291" s="1028" t="s">
        <v>1825</v>
      </c>
      <c r="C291" s="992"/>
      <c r="D291" s="993"/>
      <c r="E291" s="959"/>
      <c r="F291" s="960"/>
    </row>
    <row r="292" spans="1:6" ht="12.75">
      <c r="A292" s="956"/>
      <c r="B292" s="1028" t="s">
        <v>1826</v>
      </c>
      <c r="C292" s="992"/>
      <c r="D292" s="993"/>
      <c r="E292" s="959"/>
      <c r="F292" s="960"/>
    </row>
    <row r="293" spans="1:6" ht="12.75">
      <c r="A293" s="956"/>
      <c r="B293" s="964" t="s">
        <v>1827</v>
      </c>
      <c r="C293" s="971"/>
      <c r="D293" s="1036"/>
      <c r="E293" s="959"/>
      <c r="F293" s="960"/>
    </row>
    <row r="294" spans="1:6" ht="12.75">
      <c r="A294" s="956"/>
      <c r="B294" s="964" t="s">
        <v>1828</v>
      </c>
      <c r="C294" s="971"/>
      <c r="D294" s="1036"/>
      <c r="E294" s="959"/>
      <c r="F294" s="960"/>
    </row>
    <row r="295" spans="1:6" ht="12.75">
      <c r="A295" s="956"/>
      <c r="B295" s="964" t="s">
        <v>1829</v>
      </c>
      <c r="C295" s="971"/>
      <c r="D295" s="1036"/>
      <c r="E295" s="959"/>
      <c r="F295" s="960"/>
    </row>
    <row r="296" spans="1:6" ht="12.75">
      <c r="A296" s="956"/>
      <c r="B296" s="964" t="s">
        <v>1830</v>
      </c>
      <c r="C296" s="971"/>
      <c r="D296" s="1036"/>
      <c r="E296" s="959"/>
      <c r="F296" s="960"/>
    </row>
    <row r="297" spans="1:6" ht="12.75">
      <c r="A297" s="956"/>
      <c r="B297" s="964" t="s">
        <v>1831</v>
      </c>
      <c r="C297" s="971"/>
      <c r="D297" s="1036"/>
      <c r="E297" s="959"/>
      <c r="F297" s="960"/>
    </row>
    <row r="298" spans="1:6" ht="12.75">
      <c r="A298" s="956"/>
      <c r="B298" s="964" t="s">
        <v>1832</v>
      </c>
      <c r="C298" s="971"/>
      <c r="D298" s="1036"/>
      <c r="E298" s="959"/>
      <c r="F298" s="960"/>
    </row>
    <row r="299" spans="1:6" ht="12.75">
      <c r="A299" s="956"/>
      <c r="B299" s="964" t="s">
        <v>1833</v>
      </c>
      <c r="C299" s="971"/>
      <c r="D299" s="1036"/>
      <c r="E299" s="959"/>
      <c r="F299" s="960"/>
    </row>
    <row r="300" spans="1:6" ht="12.75">
      <c r="A300" s="956"/>
      <c r="B300" s="964" t="s">
        <v>1834</v>
      </c>
      <c r="C300" s="971"/>
      <c r="D300" s="1036"/>
      <c r="E300" s="959"/>
      <c r="F300" s="960"/>
    </row>
    <row r="301" spans="1:6" ht="12.75">
      <c r="A301" s="956"/>
      <c r="B301" s="964" t="s">
        <v>1835</v>
      </c>
      <c r="C301" s="971"/>
      <c r="D301" s="1036"/>
      <c r="E301" s="959"/>
      <c r="F301" s="960"/>
    </row>
    <row r="302" spans="1:6" ht="12.75">
      <c r="A302" s="956"/>
      <c r="B302" s="964" t="s">
        <v>1836</v>
      </c>
      <c r="C302" s="971"/>
      <c r="D302" s="1036"/>
      <c r="E302" s="959"/>
      <c r="F302" s="960"/>
    </row>
    <row r="303" spans="1:6" ht="12.75">
      <c r="A303" s="956"/>
      <c r="B303" s="964" t="s">
        <v>1837</v>
      </c>
      <c r="C303" s="971"/>
      <c r="D303" s="1036"/>
      <c r="E303" s="959"/>
      <c r="F303" s="960"/>
    </row>
    <row r="304" spans="1:6" ht="25.5">
      <c r="A304" s="956"/>
      <c r="B304" s="964" t="s">
        <v>1838</v>
      </c>
      <c r="C304" s="971"/>
      <c r="D304" s="1036"/>
      <c r="E304" s="959"/>
      <c r="F304" s="960"/>
    </row>
    <row r="305" spans="1:6" ht="63.75">
      <c r="A305" s="956"/>
      <c r="B305" s="1050" t="s">
        <v>1738</v>
      </c>
      <c r="C305" s="971"/>
      <c r="D305" s="1036"/>
      <c r="E305" s="999"/>
      <c r="F305" s="1000"/>
    </row>
    <row r="306" spans="1:6" ht="12.75">
      <c r="A306" s="956"/>
      <c r="B306" s="1050" t="s">
        <v>1823</v>
      </c>
      <c r="C306" s="971" t="s">
        <v>520</v>
      </c>
      <c r="D306" s="1036">
        <v>6</v>
      </c>
      <c r="E306" s="966"/>
      <c r="F306" s="967">
        <f>D306*E306</f>
        <v>0</v>
      </c>
    </row>
    <row r="307" spans="1:6" ht="12.75">
      <c r="A307" s="956"/>
      <c r="B307" s="964" t="s">
        <v>1839</v>
      </c>
      <c r="C307" s="971"/>
      <c r="D307" s="1036"/>
      <c r="E307" s="999"/>
      <c r="F307" s="1000"/>
    </row>
    <row r="308" spans="1:6" ht="12.75">
      <c r="A308" s="956"/>
      <c r="B308" s="964" t="s">
        <v>1840</v>
      </c>
      <c r="C308" s="971"/>
      <c r="D308" s="1036"/>
      <c r="E308" s="959"/>
      <c r="F308" s="960"/>
    </row>
    <row r="309" spans="1:6" ht="12.75">
      <c r="A309" s="1040"/>
      <c r="B309" s="1026" t="s">
        <v>1682</v>
      </c>
      <c r="C309" s="971"/>
      <c r="D309" s="1036"/>
      <c r="E309" s="1041"/>
      <c r="F309" s="1042"/>
    </row>
    <row r="310" spans="1:6" ht="12.75">
      <c r="A310" s="1040"/>
      <c r="B310" s="1048"/>
      <c r="C310" s="971"/>
      <c r="D310" s="1036"/>
      <c r="E310" s="999"/>
      <c r="F310" s="1000"/>
    </row>
    <row r="311" spans="1:6" ht="25.5">
      <c r="A311" s="962">
        <f>MAX($A$63:A310)+1</f>
        <v>37</v>
      </c>
      <c r="B311" s="964" t="s">
        <v>2276</v>
      </c>
      <c r="C311" s="971"/>
      <c r="D311" s="1036"/>
      <c r="E311" s="1041"/>
      <c r="F311" s="1042"/>
    </row>
    <row r="312" spans="1:6" ht="25.5">
      <c r="A312" s="1043"/>
      <c r="B312" s="964" t="s">
        <v>1841</v>
      </c>
      <c r="C312" s="971"/>
      <c r="D312" s="1036"/>
      <c r="E312" s="999"/>
      <c r="F312" s="1000"/>
    </row>
    <row r="313" spans="1:6" ht="12.75">
      <c r="A313" s="1043"/>
      <c r="B313" s="964" t="s">
        <v>1842</v>
      </c>
      <c r="C313" s="971"/>
      <c r="D313" s="1036"/>
      <c r="E313" s="1051"/>
      <c r="F313" s="1042"/>
    </row>
    <row r="314" spans="1:6" ht="25.5">
      <c r="A314" s="1043"/>
      <c r="B314" s="964" t="s">
        <v>1843</v>
      </c>
      <c r="C314" s="971"/>
      <c r="D314" s="1036"/>
      <c r="E314" s="999"/>
      <c r="F314" s="1000"/>
    </row>
    <row r="315" spans="1:6" ht="25.5">
      <c r="A315" s="1043"/>
      <c r="B315" s="964" t="s">
        <v>1844</v>
      </c>
      <c r="C315" s="971"/>
      <c r="D315" s="1036"/>
      <c r="E315" s="999"/>
      <c r="F315" s="1000"/>
    </row>
    <row r="316" spans="1:6" ht="12.75">
      <c r="A316" s="1043"/>
      <c r="B316" s="964" t="s">
        <v>1845</v>
      </c>
      <c r="C316" s="971"/>
      <c r="D316" s="1036"/>
      <c r="E316" s="1041"/>
      <c r="F316" s="1042"/>
    </row>
    <row r="317" spans="1:6" ht="12.75">
      <c r="A317" s="1043"/>
      <c r="B317" s="1052" t="s">
        <v>1846</v>
      </c>
      <c r="C317" s="971"/>
      <c r="D317" s="1036"/>
      <c r="E317" s="1041"/>
      <c r="F317" s="1042"/>
    </row>
    <row r="318" spans="1:6" ht="25.5">
      <c r="A318" s="1043"/>
      <c r="B318" s="964" t="s">
        <v>1847</v>
      </c>
      <c r="C318" s="971"/>
      <c r="D318" s="1036"/>
      <c r="E318" s="1041"/>
      <c r="F318" s="1042"/>
    </row>
    <row r="319" spans="1:6" ht="25.5">
      <c r="A319" s="1040"/>
      <c r="B319" s="964" t="s">
        <v>1848</v>
      </c>
      <c r="C319" s="971"/>
      <c r="D319" s="1036"/>
      <c r="E319" s="1051"/>
      <c r="F319" s="1042"/>
    </row>
    <row r="320" spans="1:6" ht="12.75">
      <c r="A320" s="1040"/>
      <c r="B320" s="1028" t="s">
        <v>1821</v>
      </c>
      <c r="C320" s="971"/>
      <c r="D320" s="1036"/>
      <c r="E320" s="1051"/>
      <c r="F320" s="1042"/>
    </row>
    <row r="321" spans="1:6" ht="12.75">
      <c r="A321" s="962"/>
      <c r="B321" s="1028" t="s">
        <v>1849</v>
      </c>
      <c r="C321" s="971" t="s">
        <v>520</v>
      </c>
      <c r="D321" s="1036">
        <v>23</v>
      </c>
      <c r="E321" s="966"/>
      <c r="F321" s="967">
        <f>D321*E321</f>
        <v>0</v>
      </c>
    </row>
    <row r="322" spans="1:6" ht="12.75">
      <c r="A322" s="1053"/>
      <c r="B322" s="964" t="s">
        <v>1850</v>
      </c>
      <c r="C322" s="971"/>
      <c r="D322" s="1036"/>
      <c r="E322" s="999"/>
      <c r="F322" s="1000"/>
    </row>
    <row r="323" spans="1:6" ht="12.75">
      <c r="A323" s="1040"/>
      <c r="B323" s="964" t="s">
        <v>1851</v>
      </c>
      <c r="C323" s="971"/>
      <c r="D323" s="1036"/>
      <c r="E323" s="1051"/>
      <c r="F323" s="1042"/>
    </row>
    <row r="324" spans="1:6" ht="12.75">
      <c r="A324" s="962"/>
      <c r="B324" s="963"/>
      <c r="C324" s="971"/>
      <c r="D324" s="1036"/>
      <c r="E324" s="1041"/>
      <c r="F324" s="1042"/>
    </row>
    <row r="325" spans="1:6" ht="76.5">
      <c r="A325" s="962">
        <f>MAX($A$63:A324)+1</f>
        <v>38</v>
      </c>
      <c r="B325" s="983" t="s">
        <v>1852</v>
      </c>
      <c r="C325" s="971"/>
      <c r="D325" s="1036"/>
      <c r="E325" s="959"/>
      <c r="F325" s="1042"/>
    </row>
    <row r="326" spans="1:6" ht="12.75">
      <c r="A326" s="962"/>
      <c r="B326" s="1054" t="s">
        <v>1853</v>
      </c>
      <c r="C326" s="971"/>
      <c r="D326" s="1036"/>
      <c r="E326" s="959"/>
      <c r="F326" s="1042"/>
    </row>
    <row r="327" spans="1:6" ht="63.75">
      <c r="A327" s="962"/>
      <c r="B327" s="1055" t="s">
        <v>1854</v>
      </c>
      <c r="C327" s="971"/>
      <c r="D327" s="1036"/>
      <c r="E327" s="959"/>
      <c r="F327" s="1042"/>
    </row>
    <row r="328" spans="1:6" ht="12.75">
      <c r="A328" s="1040"/>
      <c r="B328" s="963" t="s">
        <v>1855</v>
      </c>
      <c r="C328" s="971" t="s">
        <v>650</v>
      </c>
      <c r="D328" s="1036">
        <v>1060</v>
      </c>
      <c r="E328" s="966"/>
      <c r="F328" s="967">
        <f>D328*E328</f>
        <v>0</v>
      </c>
    </row>
    <row r="329" spans="1:6" ht="12.75">
      <c r="A329" s="962"/>
      <c r="B329" s="963" t="s">
        <v>1856</v>
      </c>
      <c r="C329" s="971" t="s">
        <v>650</v>
      </c>
      <c r="D329" s="1036">
        <v>355</v>
      </c>
      <c r="E329" s="966"/>
      <c r="F329" s="967">
        <f>D329*E329</f>
        <v>0</v>
      </c>
    </row>
    <row r="330" spans="1:6" ht="12.75">
      <c r="A330" s="907"/>
      <c r="B330" s="990"/>
      <c r="C330" s="950"/>
      <c r="D330" s="984"/>
      <c r="E330" s="1065"/>
      <c r="F330" s="936"/>
    </row>
    <row r="331" spans="1:6" ht="76.5">
      <c r="A331" s="1017">
        <f>MAX($A$61:A330)+1</f>
        <v>39</v>
      </c>
      <c r="B331" s="1024" t="s">
        <v>1857</v>
      </c>
      <c r="C331" s="950"/>
      <c r="D331" s="984"/>
      <c r="E331" s="1065"/>
      <c r="F331" s="936"/>
    </row>
    <row r="332" spans="1:6" ht="51">
      <c r="A332" s="1017"/>
      <c r="B332" s="1024" t="s">
        <v>1762</v>
      </c>
      <c r="C332" s="950"/>
      <c r="D332" s="984"/>
      <c r="E332" s="1065"/>
      <c r="F332" s="936"/>
    </row>
    <row r="333" spans="1:6" ht="12.75">
      <c r="A333" s="907"/>
      <c r="B333" s="1024" t="s">
        <v>1858</v>
      </c>
      <c r="C333" s="950"/>
      <c r="D333" s="984"/>
      <c r="E333" s="1065"/>
      <c r="F333" s="936"/>
    </row>
    <row r="334" spans="1:6" ht="12.75">
      <c r="A334" s="1040"/>
      <c r="B334" s="963" t="s">
        <v>1855</v>
      </c>
      <c r="C334" s="971" t="s">
        <v>650</v>
      </c>
      <c r="D334" s="1036">
        <v>1060</v>
      </c>
      <c r="E334" s="966"/>
      <c r="F334" s="967">
        <f>D334*E334</f>
        <v>0</v>
      </c>
    </row>
    <row r="335" spans="1:6" ht="12.75">
      <c r="A335" s="962"/>
      <c r="B335" s="963" t="s">
        <v>1856</v>
      </c>
      <c r="C335" s="971" t="s">
        <v>650</v>
      </c>
      <c r="D335" s="1036">
        <v>355</v>
      </c>
      <c r="E335" s="966"/>
      <c r="F335" s="967">
        <f>D335*E335</f>
        <v>0</v>
      </c>
    </row>
    <row r="336" spans="1:6" ht="12.75">
      <c r="A336" s="907"/>
      <c r="B336" s="969" t="s">
        <v>1766</v>
      </c>
      <c r="C336" s="950"/>
      <c r="D336" s="984"/>
      <c r="E336" s="1065"/>
      <c r="F336" s="936"/>
    </row>
    <row r="337" spans="1:6" ht="12.75">
      <c r="A337" s="907"/>
      <c r="B337" s="1024" t="s">
        <v>1682</v>
      </c>
      <c r="C337" s="950"/>
      <c r="D337" s="984"/>
      <c r="E337" s="1065"/>
      <c r="F337" s="936"/>
    </row>
    <row r="338" spans="1:6" ht="12.75">
      <c r="A338" s="956"/>
      <c r="B338" s="991"/>
      <c r="C338" s="996"/>
      <c r="D338" s="997"/>
      <c r="E338" s="959"/>
      <c r="F338" s="960"/>
    </row>
    <row r="339" spans="1:6" ht="51">
      <c r="A339" s="962">
        <f>MAX($A$63:A338)+1</f>
        <v>40</v>
      </c>
      <c r="B339" s="1009" t="s">
        <v>2270</v>
      </c>
      <c r="C339" s="971"/>
      <c r="D339" s="1036"/>
      <c r="E339" s="999"/>
      <c r="F339" s="1000"/>
    </row>
    <row r="340" spans="1:6" ht="102">
      <c r="A340" s="962"/>
      <c r="B340" s="1009" t="s">
        <v>2271</v>
      </c>
      <c r="C340" s="971"/>
      <c r="D340" s="1036"/>
      <c r="E340" s="999"/>
      <c r="F340" s="1000"/>
    </row>
    <row r="341" spans="1:6" ht="12.75">
      <c r="A341" s="1040"/>
      <c r="B341" s="963" t="s">
        <v>1757</v>
      </c>
      <c r="C341" s="971" t="s">
        <v>650</v>
      </c>
      <c r="D341" s="1036">
        <v>24</v>
      </c>
      <c r="E341" s="966"/>
      <c r="F341" s="967">
        <f>D341*E341</f>
        <v>0</v>
      </c>
    </row>
    <row r="342" spans="1:6" ht="12.75">
      <c r="A342" s="1040"/>
      <c r="B342" s="963" t="s">
        <v>1859</v>
      </c>
      <c r="C342" s="971" t="s">
        <v>650</v>
      </c>
      <c r="D342" s="1036">
        <v>18</v>
      </c>
      <c r="E342" s="966"/>
      <c r="F342" s="967">
        <f>D342*E342</f>
        <v>0</v>
      </c>
    </row>
    <row r="343" spans="1:6" ht="12.75">
      <c r="A343" s="1040"/>
      <c r="B343" s="963" t="s">
        <v>1758</v>
      </c>
      <c r="C343" s="971" t="s">
        <v>650</v>
      </c>
      <c r="D343" s="1036">
        <v>48</v>
      </c>
      <c r="E343" s="966"/>
      <c r="F343" s="967">
        <f>D343*E343</f>
        <v>0</v>
      </c>
    </row>
    <row r="344" spans="1:6" ht="12.75">
      <c r="A344" s="1040"/>
      <c r="B344" s="963" t="s">
        <v>1759</v>
      </c>
      <c r="C344" s="971" t="s">
        <v>650</v>
      </c>
      <c r="D344" s="1036">
        <v>36</v>
      </c>
      <c r="E344" s="966"/>
      <c r="F344" s="967">
        <f>D344*E344</f>
        <v>0</v>
      </c>
    </row>
    <row r="345" spans="1:6" ht="12.75">
      <c r="A345" s="1040"/>
      <c r="B345" s="1009" t="s">
        <v>1760</v>
      </c>
      <c r="C345" s="971"/>
      <c r="D345" s="1036"/>
      <c r="E345" s="1041"/>
      <c r="F345" s="1042"/>
    </row>
    <row r="346" spans="1:6" ht="12.75">
      <c r="A346" s="1040"/>
      <c r="B346" s="969" t="s">
        <v>1682</v>
      </c>
      <c r="C346" s="971"/>
      <c r="D346" s="1036"/>
      <c r="E346" s="1041"/>
      <c r="F346" s="1042"/>
    </row>
    <row r="347" spans="1:6" ht="12.75">
      <c r="A347" s="907"/>
      <c r="B347" s="1025"/>
      <c r="C347" s="950"/>
      <c r="D347" s="984"/>
      <c r="E347" s="1065"/>
      <c r="F347" s="936"/>
    </row>
    <row r="348" spans="1:6" ht="25.5">
      <c r="A348" s="1017">
        <f>MAX($A$61:A347)+1</f>
        <v>41</v>
      </c>
      <c r="B348" s="985" t="s">
        <v>1860</v>
      </c>
      <c r="C348" s="950" t="s">
        <v>2277</v>
      </c>
      <c r="D348" s="984">
        <v>13.5</v>
      </c>
      <c r="E348" s="1008"/>
      <c r="F348" s="967">
        <f>D348*E348</f>
        <v>0</v>
      </c>
    </row>
    <row r="349" spans="1:6" ht="12.75">
      <c r="A349" s="907"/>
      <c r="B349" s="990"/>
      <c r="C349" s="950"/>
      <c r="D349" s="984"/>
      <c r="E349" s="1065"/>
      <c r="F349" s="936"/>
    </row>
    <row r="350" spans="1:6" ht="63.75">
      <c r="A350" s="1017">
        <f>MAX($A$61:A349)+1</f>
        <v>42</v>
      </c>
      <c r="B350" s="1024" t="s">
        <v>1861</v>
      </c>
      <c r="C350" s="950"/>
      <c r="D350" s="984"/>
      <c r="E350" s="1065"/>
      <c r="F350" s="936"/>
    </row>
    <row r="351" spans="1:6" ht="51">
      <c r="A351" s="1017"/>
      <c r="B351" s="1024" t="s">
        <v>1762</v>
      </c>
      <c r="C351" s="950"/>
      <c r="D351" s="984"/>
      <c r="E351" s="1065"/>
      <c r="F351" s="936"/>
    </row>
    <row r="352" spans="1:6" ht="12.75">
      <c r="A352" s="907"/>
      <c r="B352" s="1024" t="s">
        <v>1862</v>
      </c>
      <c r="C352" s="950"/>
      <c r="D352" s="984"/>
      <c r="E352" s="1065"/>
      <c r="F352" s="936"/>
    </row>
    <row r="353" spans="1:6" ht="12.75">
      <c r="A353" s="1040"/>
      <c r="B353" s="963" t="s">
        <v>1757</v>
      </c>
      <c r="C353" s="971" t="s">
        <v>650</v>
      </c>
      <c r="D353" s="1036">
        <v>24</v>
      </c>
      <c r="E353" s="966"/>
      <c r="F353" s="967">
        <f>D353*E353</f>
        <v>0</v>
      </c>
    </row>
    <row r="354" spans="1:6" ht="12.75">
      <c r="A354" s="907"/>
      <c r="B354" s="1024" t="s">
        <v>1863</v>
      </c>
      <c r="C354" s="950"/>
      <c r="D354" s="984"/>
      <c r="E354" s="1065"/>
      <c r="F354" s="936"/>
    </row>
    <row r="355" spans="1:6" ht="12.75">
      <c r="A355" s="1040"/>
      <c r="B355" s="963" t="s">
        <v>1859</v>
      </c>
      <c r="C355" s="971" t="s">
        <v>650</v>
      </c>
      <c r="D355" s="1036">
        <v>18</v>
      </c>
      <c r="E355" s="966"/>
      <c r="F355" s="967">
        <f>D355*E355</f>
        <v>0</v>
      </c>
    </row>
    <row r="356" spans="1:6" ht="12.75">
      <c r="A356" s="907"/>
      <c r="B356" s="1024" t="s">
        <v>1763</v>
      </c>
      <c r="C356" s="950"/>
      <c r="D356" s="984"/>
      <c r="E356" s="1065"/>
      <c r="F356" s="936"/>
    </row>
    <row r="357" spans="1:6" ht="12.75">
      <c r="A357" s="1040"/>
      <c r="B357" s="963" t="s">
        <v>1758</v>
      </c>
      <c r="C357" s="971" t="s">
        <v>650</v>
      </c>
      <c r="D357" s="1036">
        <v>48</v>
      </c>
      <c r="E357" s="966"/>
      <c r="F357" s="967">
        <f>D357*E357</f>
        <v>0</v>
      </c>
    </row>
    <row r="358" spans="1:6" ht="12.75">
      <c r="A358" s="907"/>
      <c r="B358" s="1024" t="s">
        <v>1864</v>
      </c>
      <c r="C358" s="950"/>
      <c r="D358" s="984"/>
      <c r="E358" s="1065"/>
      <c r="F358" s="936"/>
    </row>
    <row r="359" spans="1:6" ht="12.75">
      <c r="A359" s="1040"/>
      <c r="B359" s="963" t="s">
        <v>1865</v>
      </c>
      <c r="C359" s="971" t="s">
        <v>650</v>
      </c>
      <c r="D359" s="1036">
        <v>36</v>
      </c>
      <c r="E359" s="966"/>
      <c r="F359" s="967">
        <f>D359*E359</f>
        <v>0</v>
      </c>
    </row>
    <row r="360" spans="1:6" ht="12.75">
      <c r="A360" s="907"/>
      <c r="B360" s="969" t="s">
        <v>1766</v>
      </c>
      <c r="C360" s="950"/>
      <c r="D360" s="984"/>
      <c r="E360" s="1065"/>
      <c r="F360" s="936"/>
    </row>
    <row r="361" spans="1:6" ht="12.75">
      <c r="A361" s="907"/>
      <c r="B361" s="1024" t="s">
        <v>1682</v>
      </c>
      <c r="C361" s="950"/>
      <c r="D361" s="984"/>
      <c r="E361" s="1065"/>
      <c r="F361" s="936"/>
    </row>
    <row r="362" spans="1:6" ht="12.75">
      <c r="A362" s="956"/>
      <c r="B362" s="973"/>
      <c r="C362" s="992"/>
      <c r="D362" s="993"/>
      <c r="E362" s="959"/>
      <c r="F362" s="960"/>
    </row>
    <row r="363" spans="1:6" ht="38.25">
      <c r="A363" s="962">
        <f>MAX($A$63:A362)+1</f>
        <v>43</v>
      </c>
      <c r="B363" s="1007" t="s">
        <v>1866</v>
      </c>
      <c r="C363" s="992" t="s">
        <v>702</v>
      </c>
      <c r="D363" s="993">
        <v>15</v>
      </c>
      <c r="E363" s="966"/>
      <c r="F363" s="967">
        <f>D363*E363</f>
        <v>0</v>
      </c>
    </row>
    <row r="364" spans="1:6" ht="12.75">
      <c r="A364" s="956"/>
      <c r="B364" s="974"/>
      <c r="C364" s="958"/>
      <c r="D364" s="965"/>
      <c r="E364" s="1041"/>
      <c r="F364" s="960"/>
    </row>
    <row r="365" spans="1:6" ht="51">
      <c r="A365" s="962">
        <f>MAX($A$63:A364)+1</f>
        <v>44</v>
      </c>
      <c r="B365" s="974" t="s">
        <v>1867</v>
      </c>
      <c r="C365" s="958" t="s">
        <v>520</v>
      </c>
      <c r="D365" s="965">
        <v>73</v>
      </c>
      <c r="E365" s="966"/>
      <c r="F365" s="967">
        <f>D365*E365</f>
        <v>0</v>
      </c>
    </row>
    <row r="366" spans="1:6" ht="12.75">
      <c r="A366" s="1043"/>
      <c r="B366" s="974" t="s">
        <v>1868</v>
      </c>
      <c r="C366" s="971"/>
      <c r="D366" s="1036"/>
      <c r="E366" s="959"/>
      <c r="F366" s="1042"/>
    </row>
    <row r="367" spans="1:6" ht="12.75">
      <c r="A367" s="907"/>
      <c r="B367" s="1024" t="s">
        <v>1682</v>
      </c>
      <c r="C367" s="950"/>
      <c r="D367" s="984"/>
      <c r="E367" s="1065"/>
      <c r="F367" s="936"/>
    </row>
    <row r="368" spans="1:6" ht="12.75">
      <c r="A368" s="956"/>
      <c r="B368" s="974"/>
      <c r="C368" s="958"/>
      <c r="D368" s="965"/>
      <c r="E368" s="959"/>
      <c r="F368" s="1042"/>
    </row>
    <row r="369" spans="1:6" ht="51">
      <c r="A369" s="962">
        <f>MAX($A$63:A368)+1</f>
        <v>45</v>
      </c>
      <c r="B369" s="974" t="s">
        <v>1869</v>
      </c>
      <c r="C369" s="958" t="s">
        <v>520</v>
      </c>
      <c r="D369" s="965">
        <v>23</v>
      </c>
      <c r="E369" s="966"/>
      <c r="F369" s="967">
        <f>D369*E369</f>
        <v>0</v>
      </c>
    </row>
    <row r="370" spans="1:6" ht="12.75">
      <c r="A370" s="1040"/>
      <c r="B370" s="974" t="s">
        <v>1868</v>
      </c>
      <c r="C370" s="971"/>
      <c r="D370" s="1036"/>
      <c r="E370" s="1041"/>
      <c r="F370" s="1042"/>
    </row>
    <row r="371" spans="1:6" ht="12.75">
      <c r="A371" s="907"/>
      <c r="B371" s="1024" t="s">
        <v>1682</v>
      </c>
      <c r="C371" s="950"/>
      <c r="D371" s="984"/>
      <c r="E371" s="1065"/>
      <c r="F371" s="936"/>
    </row>
    <row r="372" spans="1:6" ht="12.75">
      <c r="A372" s="956"/>
      <c r="B372" s="991"/>
      <c r="C372" s="992"/>
      <c r="D372" s="993"/>
      <c r="E372" s="1056"/>
      <c r="F372" s="1057"/>
    </row>
    <row r="373" spans="1:6" ht="12.75">
      <c r="A373" s="952" t="s">
        <v>716</v>
      </c>
      <c r="B373" s="1058" t="s">
        <v>1870</v>
      </c>
      <c r="C373" s="954"/>
      <c r="D373" s="1059"/>
      <c r="E373" s="1060"/>
      <c r="F373" s="1061">
        <f>SUBTOTAL(9,F380:F790)</f>
        <v>0</v>
      </c>
    </row>
    <row r="374" spans="1:6" ht="12.75">
      <c r="A374" s="952"/>
      <c r="B374" s="1058"/>
      <c r="C374" s="954"/>
      <c r="D374" s="1059"/>
      <c r="E374" s="1060"/>
      <c r="F374" s="1062"/>
    </row>
    <row r="375" spans="1:6" ht="12.75">
      <c r="A375" s="907"/>
      <c r="B375" s="1063" t="s">
        <v>1871</v>
      </c>
      <c r="C375" s="1064"/>
      <c r="D375" s="981"/>
      <c r="E375" s="1065"/>
      <c r="F375" s="936"/>
    </row>
    <row r="376" spans="1:6" ht="12.75">
      <c r="A376" s="907"/>
      <c r="B376" s="1063"/>
      <c r="C376" s="1064"/>
      <c r="D376" s="981"/>
      <c r="E376" s="1065"/>
      <c r="F376" s="936"/>
    </row>
    <row r="377" spans="1:6" ht="12.75">
      <c r="A377" s="907"/>
      <c r="B377" s="1066" t="s">
        <v>515</v>
      </c>
      <c r="C377" s="1064"/>
      <c r="D377" s="981"/>
      <c r="E377" s="1065"/>
      <c r="F377" s="936"/>
    </row>
    <row r="378" spans="1:6" ht="12.75">
      <c r="A378" s="907"/>
      <c r="B378" s="1063"/>
      <c r="C378" s="1064"/>
      <c r="D378" s="981"/>
      <c r="E378" s="1065"/>
      <c r="F378" s="936"/>
    </row>
    <row r="379" spans="1:6" ht="51">
      <c r="A379" s="962">
        <f>MAX($A$63:A378)+1</f>
        <v>46</v>
      </c>
      <c r="B379" s="1035" t="s">
        <v>1872</v>
      </c>
      <c r="C379" s="1064"/>
      <c r="D379" s="981"/>
      <c r="E379" s="1065"/>
      <c r="F379" s="936"/>
    </row>
    <row r="380" spans="1:6" ht="12.75">
      <c r="A380" s="1067"/>
      <c r="B380" s="983"/>
      <c r="C380" s="1068" t="s">
        <v>650</v>
      </c>
      <c r="D380" s="1069">
        <v>32</v>
      </c>
      <c r="E380" s="1008"/>
      <c r="F380" s="1070">
        <f>+E380*D380</f>
        <v>0</v>
      </c>
    </row>
    <row r="381" spans="1:6" ht="12.75">
      <c r="A381" s="1071"/>
      <c r="B381" s="983"/>
      <c r="C381" s="1064"/>
      <c r="D381" s="981"/>
      <c r="E381" s="1065"/>
      <c r="F381" s="936"/>
    </row>
    <row r="382" spans="1:6" ht="25.5">
      <c r="A382" s="1017">
        <f>MAX($A$67:A381)+1</f>
        <v>47</v>
      </c>
      <c r="B382" s="1035" t="s">
        <v>1873</v>
      </c>
      <c r="C382" s="1064"/>
      <c r="D382" s="981"/>
      <c r="E382" s="1065"/>
      <c r="F382" s="936"/>
    </row>
    <row r="383" spans="1:6" ht="12.75">
      <c r="A383" s="1071"/>
      <c r="B383" s="983"/>
      <c r="C383" s="1068" t="s">
        <v>650</v>
      </c>
      <c r="D383" s="1069">
        <v>32</v>
      </c>
      <c r="E383" s="1008"/>
      <c r="F383" s="1070">
        <f>+E383*D383</f>
        <v>0</v>
      </c>
    </row>
    <row r="384" spans="1:6" ht="12.75">
      <c r="A384" s="1071"/>
      <c r="B384" s="983"/>
      <c r="C384" s="1064"/>
      <c r="D384" s="981"/>
      <c r="E384" s="1065"/>
      <c r="F384" s="936"/>
    </row>
    <row r="385" spans="1:6" ht="25.5">
      <c r="A385" s="1017">
        <f>MAX($A$67:A384)+1</f>
        <v>48</v>
      </c>
      <c r="B385" s="1035" t="s">
        <v>1874</v>
      </c>
      <c r="C385" s="1064"/>
      <c r="D385" s="981"/>
      <c r="E385" s="1065"/>
      <c r="F385" s="936"/>
    </row>
    <row r="386" spans="1:6" ht="12.75">
      <c r="A386" s="1071"/>
      <c r="B386" s="1035" t="s">
        <v>1875</v>
      </c>
      <c r="C386" s="1068" t="s">
        <v>650</v>
      </c>
      <c r="D386" s="1069">
        <v>32</v>
      </c>
      <c r="E386" s="1008"/>
      <c r="F386" s="1070">
        <f>+E386*D386</f>
        <v>0</v>
      </c>
    </row>
    <row r="387" spans="1:6" ht="12.75">
      <c r="A387" s="1071"/>
      <c r="B387" s="983"/>
      <c r="C387" s="1064"/>
      <c r="D387" s="981"/>
      <c r="E387" s="1065"/>
      <c r="F387" s="936"/>
    </row>
    <row r="388" spans="1:6" ht="25.5">
      <c r="A388" s="1017">
        <f>MAX($A$67:A387)+1</f>
        <v>49</v>
      </c>
      <c r="B388" s="1035" t="s">
        <v>1876</v>
      </c>
      <c r="C388" s="1064"/>
      <c r="D388" s="981"/>
      <c r="E388" s="1065"/>
      <c r="F388" s="936"/>
    </row>
    <row r="389" spans="1:6" ht="12.75">
      <c r="A389" s="1071"/>
      <c r="B389" s="983"/>
      <c r="C389" s="1068" t="s">
        <v>1313</v>
      </c>
      <c r="D389" s="1069">
        <v>4</v>
      </c>
      <c r="E389" s="1008"/>
      <c r="F389" s="1070">
        <f>+E389*D389</f>
        <v>0</v>
      </c>
    </row>
    <row r="390" spans="1:6" ht="12.75">
      <c r="A390" s="1071"/>
      <c r="B390" s="983"/>
      <c r="C390" s="1064"/>
      <c r="D390" s="981"/>
      <c r="E390" s="1065"/>
      <c r="F390" s="936"/>
    </row>
    <row r="391" spans="1:6" ht="25.5">
      <c r="A391" s="1017">
        <f>MAX($A$67:A390)+1</f>
        <v>50</v>
      </c>
      <c r="B391" s="1035" t="s">
        <v>1877</v>
      </c>
      <c r="C391" s="1064"/>
      <c r="D391" s="981"/>
      <c r="E391" s="1065"/>
      <c r="F391" s="936"/>
    </row>
    <row r="392" spans="1:6" ht="12.75">
      <c r="A392" s="1071"/>
      <c r="B392" s="1035" t="s">
        <v>1878</v>
      </c>
      <c r="C392" s="1068" t="s">
        <v>520</v>
      </c>
      <c r="D392" s="1069">
        <v>1</v>
      </c>
      <c r="E392" s="1008"/>
      <c r="F392" s="1070">
        <f>+E392*D392</f>
        <v>0</v>
      </c>
    </row>
    <row r="393" spans="1:6" ht="12.75">
      <c r="A393" s="1071"/>
      <c r="B393" s="983"/>
      <c r="C393" s="1064"/>
      <c r="D393" s="981"/>
      <c r="E393" s="1065"/>
      <c r="F393" s="936"/>
    </row>
    <row r="394" spans="1:6" ht="38.25">
      <c r="A394" s="1017">
        <f>MAX($A$67:A393)+1</f>
        <v>51</v>
      </c>
      <c r="B394" s="1035" t="s">
        <v>1879</v>
      </c>
      <c r="C394" s="1064"/>
      <c r="D394" s="981"/>
      <c r="E394" s="1065"/>
      <c r="F394" s="936"/>
    </row>
    <row r="395" spans="1:6" ht="12.75">
      <c r="A395" s="1071"/>
      <c r="B395" s="983"/>
      <c r="C395" s="1068" t="s">
        <v>748</v>
      </c>
      <c r="D395" s="1069">
        <v>1</v>
      </c>
      <c r="E395" s="1008"/>
      <c r="F395" s="1070">
        <f>+E395*D395</f>
        <v>0</v>
      </c>
    </row>
    <row r="396" spans="1:6" ht="12.75">
      <c r="A396" s="1071"/>
      <c r="B396" s="983"/>
      <c r="C396" s="1064"/>
      <c r="D396" s="981"/>
      <c r="E396" s="1065"/>
      <c r="F396" s="936"/>
    </row>
    <row r="397" spans="1:6" ht="25.5">
      <c r="A397" s="1017">
        <f>MAX($A$67:A396)+1</f>
        <v>52</v>
      </c>
      <c r="B397" s="983" t="s">
        <v>1880</v>
      </c>
      <c r="C397" s="980"/>
      <c r="D397" s="981"/>
      <c r="E397" s="1072"/>
      <c r="F397" s="980"/>
    </row>
    <row r="398" spans="1:6" ht="14.25">
      <c r="A398" s="1017"/>
      <c r="B398" s="983"/>
      <c r="C398" s="980" t="s">
        <v>2277</v>
      </c>
      <c r="D398" s="981">
        <v>20</v>
      </c>
      <c r="E398" s="1008"/>
      <c r="F398" s="1070">
        <f>D398*E398</f>
        <v>0</v>
      </c>
    </row>
    <row r="399" spans="1:6" ht="12.75">
      <c r="A399" s="1073"/>
      <c r="B399" s="983"/>
      <c r="C399" s="980"/>
      <c r="D399" s="981"/>
      <c r="E399" s="749"/>
      <c r="F399" s="1074"/>
    </row>
    <row r="400" spans="1:6" ht="38.25">
      <c r="A400" s="1017">
        <f>MAX($A$67:A399)+1</f>
        <v>53</v>
      </c>
      <c r="B400" s="1035" t="s">
        <v>1881</v>
      </c>
      <c r="C400" s="1064"/>
      <c r="D400" s="981"/>
      <c r="E400" s="1065"/>
      <c r="F400" s="936"/>
    </row>
    <row r="401" spans="1:6" ht="12.75">
      <c r="A401" s="1071"/>
      <c r="B401" s="1035" t="s">
        <v>1882</v>
      </c>
      <c r="C401" s="1064"/>
      <c r="D401" s="981"/>
      <c r="E401" s="1065"/>
      <c r="F401" s="936"/>
    </row>
    <row r="402" spans="1:6" ht="14.25">
      <c r="A402" s="1071"/>
      <c r="B402" s="1035" t="s">
        <v>1883</v>
      </c>
      <c r="C402" s="1068" t="s">
        <v>2278</v>
      </c>
      <c r="D402" s="1069">
        <v>65</v>
      </c>
      <c r="E402" s="1008"/>
      <c r="F402" s="1070">
        <f>+E402*D402</f>
        <v>0</v>
      </c>
    </row>
    <row r="403" spans="1:6" ht="12.75">
      <c r="A403" s="1071"/>
      <c r="B403" s="983"/>
      <c r="C403" s="1064"/>
      <c r="D403" s="981"/>
      <c r="E403" s="1065"/>
      <c r="F403" s="936"/>
    </row>
    <row r="404" spans="1:6" ht="38.25">
      <c r="A404" s="1017">
        <f>MAX($A$67:A403)+1</f>
        <v>54</v>
      </c>
      <c r="B404" s="1035" t="s">
        <v>1884</v>
      </c>
      <c r="C404" s="1064"/>
      <c r="D404" s="981"/>
      <c r="E404" s="1065"/>
      <c r="F404" s="936"/>
    </row>
    <row r="405" spans="1:6" ht="12.75">
      <c r="A405" s="907"/>
      <c r="B405" s="1035" t="s">
        <v>1885</v>
      </c>
      <c r="C405" s="1064"/>
      <c r="D405" s="981"/>
      <c r="E405" s="1065"/>
      <c r="F405" s="936"/>
    </row>
    <row r="406" spans="1:6" ht="14.25">
      <c r="A406" s="907"/>
      <c r="B406" s="1035" t="s">
        <v>1883</v>
      </c>
      <c r="C406" s="1068" t="s">
        <v>2278</v>
      </c>
      <c r="D406" s="1069">
        <v>5</v>
      </c>
      <c r="E406" s="1008"/>
      <c r="F406" s="1070">
        <f>+E406*D406</f>
        <v>0</v>
      </c>
    </row>
    <row r="407" spans="1:6" ht="12.75">
      <c r="A407" s="907"/>
      <c r="B407" s="983"/>
      <c r="C407" s="1064"/>
      <c r="D407" s="981"/>
      <c r="E407" s="1065"/>
      <c r="F407" s="936"/>
    </row>
    <row r="408" spans="1:6" ht="25.5">
      <c r="A408" s="1075">
        <f>MAX($A$65:A407)+1</f>
        <v>55</v>
      </c>
      <c r="B408" s="983" t="s">
        <v>1886</v>
      </c>
      <c r="C408" s="950"/>
      <c r="D408" s="984"/>
      <c r="E408" s="1151"/>
      <c r="F408" s="950"/>
    </row>
    <row r="409" spans="1:6" ht="25.5">
      <c r="A409" s="1076"/>
      <c r="B409" s="1025" t="s">
        <v>1887</v>
      </c>
      <c r="C409" s="1077"/>
      <c r="D409" s="1078"/>
      <c r="E409" s="1109"/>
      <c r="F409" s="1077"/>
    </row>
    <row r="410" spans="1:6" ht="51">
      <c r="A410" s="1076"/>
      <c r="B410" s="1025" t="s">
        <v>1888</v>
      </c>
      <c r="C410" s="1077"/>
      <c r="D410" s="1078"/>
      <c r="E410" s="1109"/>
      <c r="F410" s="1077"/>
    </row>
    <row r="411" spans="1:6" ht="51">
      <c r="A411" s="1076"/>
      <c r="B411" s="1025" t="s">
        <v>1889</v>
      </c>
      <c r="C411" s="1077"/>
      <c r="D411" s="1078"/>
      <c r="E411" s="1109"/>
      <c r="F411" s="1077"/>
    </row>
    <row r="412" spans="1:6" ht="38.25">
      <c r="A412" s="1076"/>
      <c r="B412" s="1025" t="s">
        <v>1890</v>
      </c>
      <c r="C412" s="1077"/>
      <c r="D412" s="1078"/>
      <c r="E412" s="1109"/>
      <c r="F412" s="1077"/>
    </row>
    <row r="413" spans="1:6" ht="38.25">
      <c r="A413" s="1076"/>
      <c r="B413" s="1025" t="s">
        <v>1891</v>
      </c>
      <c r="C413" s="1068"/>
      <c r="D413" s="1069"/>
      <c r="E413" s="1109"/>
      <c r="F413" s="1077"/>
    </row>
    <row r="414" spans="1:6" ht="25.5">
      <c r="A414" s="979"/>
      <c r="B414" s="1025" t="s">
        <v>1892</v>
      </c>
      <c r="C414" s="1068"/>
      <c r="D414" s="1069"/>
      <c r="E414" s="1079"/>
      <c r="F414" s="1080"/>
    </row>
    <row r="415" spans="1:6" ht="12.75">
      <c r="A415" s="1080"/>
      <c r="B415" s="983"/>
      <c r="C415" s="1068" t="s">
        <v>748</v>
      </c>
      <c r="D415" s="1069">
        <v>1</v>
      </c>
      <c r="E415" s="1008"/>
      <c r="F415" s="1070">
        <f>+E415*D415</f>
        <v>0</v>
      </c>
    </row>
    <row r="416" spans="1:6" ht="12.75">
      <c r="A416" s="1080"/>
      <c r="B416" s="983"/>
      <c r="C416" s="1068"/>
      <c r="D416" s="1069"/>
      <c r="E416" s="1079"/>
      <c r="F416" s="1080"/>
    </row>
    <row r="417" spans="1:6" ht="25.5">
      <c r="A417" s="1017">
        <f>MAX($A$67:A407)+1</f>
        <v>55</v>
      </c>
      <c r="B417" s="1035" t="s">
        <v>1893</v>
      </c>
      <c r="C417" s="1068"/>
      <c r="D417" s="1069"/>
      <c r="E417" s="1065"/>
      <c r="F417" s="936"/>
    </row>
    <row r="418" spans="1:6" ht="14.25">
      <c r="A418" s="907"/>
      <c r="B418" s="1035" t="s">
        <v>1894</v>
      </c>
      <c r="C418" s="1068" t="s">
        <v>2277</v>
      </c>
      <c r="D418" s="1069">
        <v>1</v>
      </c>
      <c r="E418" s="1008"/>
      <c r="F418" s="1070">
        <f>+E418*D418</f>
        <v>0</v>
      </c>
    </row>
    <row r="419" spans="1:6" ht="12.75">
      <c r="A419" s="907"/>
      <c r="B419" s="983"/>
      <c r="C419" s="1064"/>
      <c r="D419" s="981"/>
      <c r="E419" s="1065"/>
      <c r="F419" s="936"/>
    </row>
    <row r="420" spans="1:6" ht="25.5">
      <c r="A420" s="1017">
        <f>MAX($A$67:A419)+1</f>
        <v>56</v>
      </c>
      <c r="B420" s="1035" t="s">
        <v>1895</v>
      </c>
      <c r="C420" s="1064"/>
      <c r="D420" s="981"/>
      <c r="E420" s="1065"/>
      <c r="F420" s="936"/>
    </row>
    <row r="421" spans="1:6" ht="14.25">
      <c r="A421" s="907"/>
      <c r="B421" s="983"/>
      <c r="C421" s="1068" t="s">
        <v>2277</v>
      </c>
      <c r="D421" s="1069">
        <v>19</v>
      </c>
      <c r="E421" s="1008"/>
      <c r="F421" s="1070">
        <f>+E421*D421</f>
        <v>0</v>
      </c>
    </row>
    <row r="422" spans="1:6" ht="12.75">
      <c r="A422" s="907"/>
      <c r="B422" s="983"/>
      <c r="C422" s="1064"/>
      <c r="D422" s="981"/>
      <c r="E422" s="1065"/>
      <c r="F422" s="936"/>
    </row>
    <row r="423" spans="1:6" ht="25.5">
      <c r="A423" s="1017">
        <f>MAX($A$67:A422)+1</f>
        <v>57</v>
      </c>
      <c r="B423" s="1035" t="s">
        <v>1896</v>
      </c>
      <c r="C423" s="1064"/>
      <c r="D423" s="981"/>
      <c r="E423" s="1065"/>
      <c r="F423" s="936"/>
    </row>
    <row r="424" spans="1:6" ht="14.25">
      <c r="A424" s="907"/>
      <c r="B424" s="983"/>
      <c r="C424" s="1068" t="s">
        <v>2278</v>
      </c>
      <c r="D424" s="1069">
        <v>11</v>
      </c>
      <c r="E424" s="1008"/>
      <c r="F424" s="1070">
        <f>+E424*D424</f>
        <v>0</v>
      </c>
    </row>
    <row r="425" spans="1:6" ht="12.75">
      <c r="A425" s="907"/>
      <c r="B425" s="983"/>
      <c r="C425" s="1064"/>
      <c r="D425" s="981"/>
      <c r="E425" s="1065"/>
      <c r="F425" s="936"/>
    </row>
    <row r="426" spans="1:6" ht="51">
      <c r="A426" s="1017">
        <f>MAX($A$67:A425)+1</f>
        <v>58</v>
      </c>
      <c r="B426" s="1035" t="s">
        <v>1897</v>
      </c>
      <c r="C426" s="1064"/>
      <c r="D426" s="981"/>
      <c r="E426" s="1065"/>
      <c r="F426" s="936"/>
    </row>
    <row r="427" spans="1:6" ht="14.25">
      <c r="A427" s="907"/>
      <c r="B427" s="983"/>
      <c r="C427" s="1068" t="s">
        <v>2278</v>
      </c>
      <c r="D427" s="1069">
        <v>55</v>
      </c>
      <c r="E427" s="1008"/>
      <c r="F427" s="1070">
        <f>+E427*D427</f>
        <v>0</v>
      </c>
    </row>
    <row r="428" spans="1:6" ht="12.75">
      <c r="A428" s="907"/>
      <c r="B428" s="983"/>
      <c r="C428" s="1064"/>
      <c r="D428" s="981"/>
      <c r="E428" s="1065"/>
      <c r="F428" s="936"/>
    </row>
    <row r="429" spans="1:6" ht="25.5">
      <c r="A429" s="1017">
        <f>MAX($A$67:A428)+1</f>
        <v>59</v>
      </c>
      <c r="B429" s="1035" t="s">
        <v>1898</v>
      </c>
      <c r="C429" s="1064"/>
      <c r="D429" s="981"/>
      <c r="E429" s="1065"/>
      <c r="F429" s="936"/>
    </row>
    <row r="430" spans="1:6" ht="14.25">
      <c r="A430" s="907"/>
      <c r="B430" s="983"/>
      <c r="C430" s="1068" t="s">
        <v>2277</v>
      </c>
      <c r="D430" s="1069">
        <v>80</v>
      </c>
      <c r="E430" s="1008"/>
      <c r="F430" s="1070">
        <f>+E430*D430</f>
        <v>0</v>
      </c>
    </row>
    <row r="431" spans="1:6" ht="12.75">
      <c r="A431" s="907"/>
      <c r="B431" s="983"/>
      <c r="C431" s="1064"/>
      <c r="D431" s="981"/>
      <c r="E431" s="1065"/>
      <c r="F431" s="936"/>
    </row>
    <row r="432" spans="1:6" ht="38.25">
      <c r="A432" s="1017">
        <f>MAX($A$67:A431)+1</f>
        <v>60</v>
      </c>
      <c r="B432" s="983" t="s">
        <v>1899</v>
      </c>
      <c r="C432" s="980"/>
      <c r="D432" s="981"/>
      <c r="E432" s="1065"/>
      <c r="F432" s="936"/>
    </row>
    <row r="433" spans="1:6" ht="14.25">
      <c r="A433" s="936"/>
      <c r="B433" s="983"/>
      <c r="C433" s="980" t="s">
        <v>2278</v>
      </c>
      <c r="D433" s="981">
        <v>15</v>
      </c>
      <c r="E433" s="1008"/>
      <c r="F433" s="1070">
        <f>D433*E433</f>
        <v>0</v>
      </c>
    </row>
    <row r="434" spans="1:6" ht="12.75">
      <c r="A434" s="936"/>
      <c r="B434" s="983"/>
      <c r="C434" s="980"/>
      <c r="D434" s="981"/>
      <c r="E434" s="1065"/>
      <c r="F434" s="936"/>
    </row>
    <row r="435" spans="1:6" ht="25.5">
      <c r="A435" s="1017">
        <f>MAX($A$67:A434)+1</f>
        <v>61</v>
      </c>
      <c r="B435" s="983" t="s">
        <v>1900</v>
      </c>
      <c r="C435" s="980"/>
      <c r="D435" s="981"/>
      <c r="E435" s="1065"/>
      <c r="F435" s="936"/>
    </row>
    <row r="436" spans="1:6" ht="14.25">
      <c r="A436" s="936"/>
      <c r="B436" s="983" t="s">
        <v>2279</v>
      </c>
      <c r="C436" s="980" t="s">
        <v>2278</v>
      </c>
      <c r="D436" s="981">
        <v>0.5</v>
      </c>
      <c r="E436" s="1008"/>
      <c r="F436" s="1070">
        <f>D436*E436</f>
        <v>0</v>
      </c>
    </row>
    <row r="437" spans="1:6" ht="12.75">
      <c r="A437" s="936"/>
      <c r="B437" s="983"/>
      <c r="C437" s="980"/>
      <c r="D437" s="981"/>
      <c r="E437" s="1065"/>
      <c r="F437" s="936"/>
    </row>
    <row r="438" spans="1:6" ht="12.75">
      <c r="A438" s="1017">
        <f>MAX($A$67:A437)+1</f>
        <v>62</v>
      </c>
      <c r="B438" s="983" t="s">
        <v>1901</v>
      </c>
      <c r="C438" s="980"/>
      <c r="D438" s="981"/>
      <c r="E438" s="1065"/>
      <c r="F438" s="936"/>
    </row>
    <row r="439" spans="1:6" ht="12.75">
      <c r="A439" s="936"/>
      <c r="B439" s="983"/>
      <c r="C439" s="980" t="s">
        <v>520</v>
      </c>
      <c r="D439" s="981">
        <v>1</v>
      </c>
      <c r="E439" s="1008"/>
      <c r="F439" s="1070">
        <f>D439*E439</f>
        <v>0</v>
      </c>
    </row>
    <row r="440" spans="1:6" ht="12.75">
      <c r="A440" s="936"/>
      <c r="B440" s="983"/>
      <c r="C440" s="980"/>
      <c r="D440" s="981"/>
      <c r="E440" s="1065"/>
      <c r="F440" s="936"/>
    </row>
    <row r="441" spans="1:6" ht="12.75">
      <c r="A441" s="907"/>
      <c r="B441" s="1066" t="s">
        <v>1902</v>
      </c>
      <c r="C441" s="944"/>
      <c r="D441" s="977"/>
      <c r="E441" s="1065"/>
      <c r="F441" s="936"/>
    </row>
    <row r="442" spans="1:6" ht="12.75">
      <c r="A442" s="907"/>
      <c r="B442" s="976"/>
      <c r="C442" s="944"/>
      <c r="D442" s="977"/>
      <c r="E442" s="1065"/>
      <c r="F442" s="936"/>
    </row>
    <row r="443" spans="1:6" ht="114.75">
      <c r="A443" s="1017">
        <f>MAX($A$63:A442)+1</f>
        <v>63</v>
      </c>
      <c r="B443" s="1081" t="s">
        <v>1903</v>
      </c>
      <c r="C443" s="1082"/>
      <c r="D443" s="1083"/>
      <c r="E443" s="1065"/>
      <c r="F443" s="951"/>
    </row>
    <row r="444" spans="1:6" ht="12.75">
      <c r="A444" s="907"/>
      <c r="B444" s="1081" t="s">
        <v>1904</v>
      </c>
      <c r="C444" s="1082"/>
      <c r="D444" s="1083"/>
      <c r="E444" s="1065"/>
      <c r="F444" s="951"/>
    </row>
    <row r="445" spans="1:6" ht="12.75">
      <c r="A445" s="907"/>
      <c r="B445" s="1081" t="s">
        <v>1905</v>
      </c>
      <c r="C445" s="1082" t="s">
        <v>520</v>
      </c>
      <c r="D445" s="1083">
        <v>1</v>
      </c>
      <c r="E445" s="1084"/>
      <c r="F445" s="1085">
        <f>D445*E445</f>
        <v>0</v>
      </c>
    </row>
    <row r="446" spans="1:6" ht="12.75">
      <c r="A446" s="907"/>
      <c r="B446" s="1081" t="s">
        <v>1906</v>
      </c>
      <c r="C446" s="1082" t="s">
        <v>520</v>
      </c>
      <c r="D446" s="1083">
        <v>1</v>
      </c>
      <c r="E446" s="1084"/>
      <c r="F446" s="1085">
        <f>D446*E446</f>
        <v>0</v>
      </c>
    </row>
    <row r="447" spans="1:6" ht="12.75">
      <c r="A447" s="907"/>
      <c r="B447" s="1081"/>
      <c r="C447" s="1082"/>
      <c r="D447" s="1083"/>
      <c r="E447" s="1065"/>
      <c r="F447" s="951"/>
    </row>
    <row r="448" spans="1:6" ht="38.25">
      <c r="A448" s="1017">
        <f>MAX($A$63:A447)+1</f>
        <v>64</v>
      </c>
      <c r="B448" s="1086" t="s">
        <v>1907</v>
      </c>
      <c r="C448" s="1087"/>
      <c r="D448" s="1088"/>
      <c r="E448" s="1065"/>
      <c r="F448" s="951"/>
    </row>
    <row r="449" spans="1:6" ht="12.75">
      <c r="A449" s="1080"/>
      <c r="B449" s="1086" t="s">
        <v>1908</v>
      </c>
      <c r="C449" s="980"/>
      <c r="D449" s="981"/>
      <c r="E449" s="1079"/>
      <c r="F449" s="1089"/>
    </row>
    <row r="450" spans="1:6" ht="12.75">
      <c r="A450" s="907"/>
      <c r="B450" s="1086" t="s">
        <v>1909</v>
      </c>
      <c r="C450" s="1087" t="s">
        <v>520</v>
      </c>
      <c r="D450" s="1088">
        <v>1</v>
      </c>
      <c r="E450" s="1084"/>
      <c r="F450" s="1085">
        <f>D450*E450</f>
        <v>0</v>
      </c>
    </row>
    <row r="451" spans="1:6" ht="12.75">
      <c r="A451" s="907"/>
      <c r="B451" s="1086"/>
      <c r="C451" s="1087"/>
      <c r="D451" s="1088"/>
      <c r="E451" s="1065"/>
      <c r="F451" s="951"/>
    </row>
    <row r="452" spans="1:6" ht="12.75">
      <c r="A452" s="1017">
        <f>MAX($A$63:A451)+1</f>
        <v>65</v>
      </c>
      <c r="B452" s="983" t="s">
        <v>1910</v>
      </c>
      <c r="C452" s="980"/>
      <c r="D452" s="981"/>
      <c r="E452" s="1065"/>
      <c r="F452" s="951"/>
    </row>
    <row r="453" spans="1:6" ht="12.75">
      <c r="A453" s="1017"/>
      <c r="B453" s="983" t="s">
        <v>1911</v>
      </c>
      <c r="C453" s="980"/>
      <c r="D453" s="981"/>
      <c r="E453" s="1065"/>
      <c r="F453" s="951"/>
    </row>
    <row r="454" spans="1:6" ht="51">
      <c r="A454" s="907"/>
      <c r="B454" s="983" t="s">
        <v>1912</v>
      </c>
      <c r="C454" s="944"/>
      <c r="D454" s="977"/>
      <c r="E454" s="1065"/>
      <c r="F454" s="951"/>
    </row>
    <row r="455" spans="1:6" ht="63.75">
      <c r="A455" s="907"/>
      <c r="B455" s="983" t="s">
        <v>1913</v>
      </c>
      <c r="C455" s="944"/>
      <c r="D455" s="977"/>
      <c r="E455" s="1065"/>
      <c r="F455" s="951"/>
    </row>
    <row r="456" spans="1:6" ht="25.5">
      <c r="A456" s="907"/>
      <c r="B456" s="983" t="s">
        <v>1914</v>
      </c>
      <c r="C456" s="944"/>
      <c r="D456" s="977"/>
      <c r="E456" s="1065"/>
      <c r="F456" s="951"/>
    </row>
    <row r="457" spans="1:6" ht="12.75">
      <c r="A457" s="1017"/>
      <c r="B457" s="983" t="s">
        <v>1915</v>
      </c>
      <c r="C457" s="980"/>
      <c r="D457" s="981"/>
      <c r="E457" s="1065"/>
      <c r="F457" s="951"/>
    </row>
    <row r="458" spans="1:6" ht="12.75">
      <c r="A458" s="936"/>
      <c r="B458" s="983" t="s">
        <v>1916</v>
      </c>
      <c r="C458" s="980"/>
      <c r="D458" s="981"/>
      <c r="E458" s="1065"/>
      <c r="F458" s="951"/>
    </row>
    <row r="459" spans="1:6" ht="12.75">
      <c r="A459" s="936"/>
      <c r="B459" s="983" t="s">
        <v>1917</v>
      </c>
      <c r="C459" s="980" t="s">
        <v>520</v>
      </c>
      <c r="D459" s="981">
        <v>1</v>
      </c>
      <c r="E459" s="1008"/>
      <c r="F459" s="1085">
        <f>D459*E459</f>
        <v>0</v>
      </c>
    </row>
    <row r="460" spans="1:6" ht="12.75">
      <c r="A460" s="936"/>
      <c r="B460" s="983"/>
      <c r="C460" s="980"/>
      <c r="D460" s="981"/>
      <c r="E460" s="1065"/>
      <c r="F460" s="951"/>
    </row>
    <row r="461" spans="1:6" ht="25.5">
      <c r="A461" s="1017">
        <f>MAX($A$67:A442)+1</f>
        <v>63</v>
      </c>
      <c r="B461" s="985" t="s">
        <v>1918</v>
      </c>
      <c r="C461" s="980"/>
      <c r="D461" s="981"/>
      <c r="E461" s="1079"/>
      <c r="F461" s="1080"/>
    </row>
    <row r="462" spans="1:6" ht="12.75">
      <c r="A462" s="1090"/>
      <c r="B462" s="985" t="s">
        <v>1919</v>
      </c>
      <c r="C462" s="980" t="s">
        <v>650</v>
      </c>
      <c r="D462" s="981">
        <v>64</v>
      </c>
      <c r="E462" s="1091"/>
      <c r="F462" s="1092">
        <f>+E462*D462</f>
        <v>0</v>
      </c>
    </row>
    <row r="463" spans="1:6" ht="12.75">
      <c r="A463" s="1080"/>
      <c r="B463" s="985"/>
      <c r="C463" s="980"/>
      <c r="D463" s="981"/>
      <c r="E463" s="1079"/>
      <c r="F463" s="1080"/>
    </row>
    <row r="464" spans="1:6" ht="51">
      <c r="A464" s="1017">
        <f>MAX($A$63:A463)+1</f>
        <v>66</v>
      </c>
      <c r="B464" s="985" t="s">
        <v>1920</v>
      </c>
      <c r="C464" s="980"/>
      <c r="D464" s="981"/>
      <c r="E464" s="1079"/>
      <c r="F464" s="1080"/>
    </row>
    <row r="465" spans="1:6" ht="12.75">
      <c r="A465" s="1080"/>
      <c r="B465" s="985" t="s">
        <v>1921</v>
      </c>
      <c r="C465" s="980" t="s">
        <v>520</v>
      </c>
      <c r="D465" s="981">
        <v>2</v>
      </c>
      <c r="E465" s="1091"/>
      <c r="F465" s="1092">
        <f>+E465*D465</f>
        <v>0</v>
      </c>
    </row>
    <row r="466" spans="1:6" ht="12.75">
      <c r="A466" s="1080"/>
      <c r="B466" s="983"/>
      <c r="C466" s="980"/>
      <c r="D466" s="981"/>
      <c r="E466" s="1079"/>
      <c r="F466" s="1080"/>
    </row>
    <row r="467" spans="1:6" ht="25.5">
      <c r="A467" s="1090">
        <f>MAX($A$65:A466)+1</f>
        <v>67</v>
      </c>
      <c r="B467" s="985" t="s">
        <v>1922</v>
      </c>
      <c r="C467" s="980"/>
      <c r="D467" s="981"/>
      <c r="E467" s="1079"/>
      <c r="F467" s="1080"/>
    </row>
    <row r="468" spans="1:6" ht="12.75">
      <c r="A468" s="1080"/>
      <c r="B468" s="985" t="s">
        <v>1923</v>
      </c>
      <c r="C468" s="980" t="s">
        <v>520</v>
      </c>
      <c r="D468" s="981">
        <v>2</v>
      </c>
      <c r="E468" s="1091"/>
      <c r="F468" s="1092">
        <f>+E468*D468</f>
        <v>0</v>
      </c>
    </row>
    <row r="469" spans="1:6" ht="12.75">
      <c r="A469" s="1080"/>
      <c r="B469" s="985" t="s">
        <v>1924</v>
      </c>
      <c r="C469" s="980" t="s">
        <v>520</v>
      </c>
      <c r="D469" s="981">
        <v>2</v>
      </c>
      <c r="E469" s="1091"/>
      <c r="F469" s="1092">
        <f>+E469*D469</f>
        <v>0</v>
      </c>
    </row>
    <row r="470" spans="1:6" ht="12.75">
      <c r="A470" s="1093"/>
      <c r="B470" s="985"/>
      <c r="C470" s="980"/>
      <c r="D470" s="981"/>
      <c r="E470" s="1079"/>
      <c r="F470" s="1080"/>
    </row>
    <row r="471" spans="1:6" ht="12.75">
      <c r="A471" s="1090">
        <f>MAX($A$65:A470)+1</f>
        <v>68</v>
      </c>
      <c r="B471" s="983" t="s">
        <v>1925</v>
      </c>
      <c r="C471" s="980"/>
      <c r="D471" s="981"/>
      <c r="E471" s="1065"/>
      <c r="F471" s="936"/>
    </row>
    <row r="472" spans="1:6" ht="12.75">
      <c r="A472" s="907"/>
      <c r="B472" s="983" t="s">
        <v>1926</v>
      </c>
      <c r="C472" s="980" t="s">
        <v>520</v>
      </c>
      <c r="D472" s="981">
        <v>4</v>
      </c>
      <c r="E472" s="1008"/>
      <c r="F472" s="1070">
        <f>D472*E472</f>
        <v>0</v>
      </c>
    </row>
    <row r="473" spans="1:6" ht="12.75">
      <c r="A473" s="907"/>
      <c r="B473" s="983" t="s">
        <v>1927</v>
      </c>
      <c r="C473" s="980" t="s">
        <v>520</v>
      </c>
      <c r="D473" s="981">
        <v>4</v>
      </c>
      <c r="E473" s="1008"/>
      <c r="F473" s="1070">
        <f>D473*E473</f>
        <v>0</v>
      </c>
    </row>
    <row r="474" spans="1:6" ht="12.75">
      <c r="A474" s="907"/>
      <c r="B474" s="983" t="s">
        <v>1928</v>
      </c>
      <c r="C474" s="980" t="s">
        <v>520</v>
      </c>
      <c r="D474" s="981">
        <v>1</v>
      </c>
      <c r="E474" s="1008"/>
      <c r="F474" s="1070">
        <f>D474*E474</f>
        <v>0</v>
      </c>
    </row>
    <row r="475" spans="1:6" ht="12.75">
      <c r="A475" s="907"/>
      <c r="B475" s="983" t="s">
        <v>1929</v>
      </c>
      <c r="C475" s="980" t="s">
        <v>520</v>
      </c>
      <c r="D475" s="981">
        <v>1</v>
      </c>
      <c r="E475" s="1008"/>
      <c r="F475" s="1070">
        <f>D475*E475</f>
        <v>0</v>
      </c>
    </row>
    <row r="476" spans="1:6" ht="12.75">
      <c r="A476" s="907"/>
      <c r="B476" s="983"/>
      <c r="C476" s="980"/>
      <c r="D476" s="981"/>
      <c r="E476" s="1065"/>
      <c r="F476" s="936"/>
    </row>
    <row r="477" spans="1:6" ht="38.25">
      <c r="A477" s="1017">
        <f>MAX($A$67:A476)+1</f>
        <v>69</v>
      </c>
      <c r="B477" s="1086" t="s">
        <v>1907</v>
      </c>
      <c r="C477" s="1087"/>
      <c r="D477" s="1088"/>
      <c r="E477" s="1065"/>
      <c r="F477" s="951"/>
    </row>
    <row r="478" spans="1:6" ht="12.75">
      <c r="A478" s="1080"/>
      <c r="B478" s="1086" t="s">
        <v>1930</v>
      </c>
      <c r="C478" s="980"/>
      <c r="D478" s="981"/>
      <c r="E478" s="1079"/>
      <c r="F478" s="1089"/>
    </row>
    <row r="479" spans="1:6" ht="12.75">
      <c r="A479" s="907"/>
      <c r="B479" s="1086" t="s">
        <v>1931</v>
      </c>
      <c r="C479" s="1087" t="s">
        <v>520</v>
      </c>
      <c r="D479" s="1088">
        <v>1</v>
      </c>
      <c r="E479" s="1008"/>
      <c r="F479" s="1085">
        <f>D479*E479</f>
        <v>0</v>
      </c>
    </row>
    <row r="480" spans="1:6" ht="12.75">
      <c r="A480" s="907"/>
      <c r="B480" s="1086"/>
      <c r="C480" s="1087"/>
      <c r="D480" s="1088"/>
      <c r="E480" s="1065"/>
      <c r="F480" s="951"/>
    </row>
    <row r="481" spans="1:6" ht="25.5">
      <c r="A481" s="1017">
        <f>MAX($A$67:A480)+1</f>
        <v>70</v>
      </c>
      <c r="B481" s="1086" t="s">
        <v>1932</v>
      </c>
      <c r="C481" s="1087"/>
      <c r="D481" s="1088"/>
      <c r="E481" s="1065"/>
      <c r="F481" s="951"/>
    </row>
    <row r="482" spans="1:6" ht="12.75">
      <c r="A482" s="1080"/>
      <c r="B482" s="1086" t="s">
        <v>1933</v>
      </c>
      <c r="C482" s="980"/>
      <c r="D482" s="981"/>
      <c r="E482" s="1079"/>
      <c r="F482" s="1089"/>
    </row>
    <row r="483" spans="1:6" ht="12.75">
      <c r="A483" s="907"/>
      <c r="B483" s="1086" t="s">
        <v>1931</v>
      </c>
      <c r="C483" s="1087" t="s">
        <v>520</v>
      </c>
      <c r="D483" s="1088">
        <v>4</v>
      </c>
      <c r="E483" s="1008"/>
      <c r="F483" s="1085">
        <f>D483*E483</f>
        <v>0</v>
      </c>
    </row>
    <row r="484" spans="1:6" ht="12.75">
      <c r="A484" s="907"/>
      <c r="B484" s="1086"/>
      <c r="C484" s="1087"/>
      <c r="D484" s="1088"/>
      <c r="E484" s="1065"/>
      <c r="F484" s="951"/>
    </row>
    <row r="485" spans="1:6" ht="12.75">
      <c r="A485" s="1090">
        <f>MAX($A$65:A476)+1</f>
        <v>69</v>
      </c>
      <c r="B485" s="985" t="s">
        <v>1934</v>
      </c>
      <c r="C485" s="980" t="s">
        <v>650</v>
      </c>
      <c r="D485" s="981">
        <v>32</v>
      </c>
      <c r="E485" s="1091"/>
      <c r="F485" s="1092">
        <f>+E485*D485</f>
        <v>0</v>
      </c>
    </row>
    <row r="486" spans="1:6" ht="12.75">
      <c r="A486" s="1080"/>
      <c r="B486" s="985"/>
      <c r="C486" s="980"/>
      <c r="D486" s="981"/>
      <c r="E486" s="1079"/>
      <c r="F486" s="1080"/>
    </row>
    <row r="487" spans="1:6" ht="25.5">
      <c r="A487" s="1090">
        <f>MAX($A$65:A486)+1</f>
        <v>71</v>
      </c>
      <c r="B487" s="1094" t="s">
        <v>1935</v>
      </c>
      <c r="C487" s="1095"/>
      <c r="D487" s="1096"/>
      <c r="E487" s="1065"/>
      <c r="F487" s="936"/>
    </row>
    <row r="488" spans="1:6" ht="12.75">
      <c r="A488" s="907"/>
      <c r="B488" s="1094" t="s">
        <v>1936</v>
      </c>
      <c r="C488" s="1095" t="s">
        <v>520</v>
      </c>
      <c r="D488" s="1096">
        <v>1</v>
      </c>
      <c r="E488" s="1091"/>
      <c r="F488" s="1092">
        <f>+E488*D488</f>
        <v>0</v>
      </c>
    </row>
    <row r="489" spans="1:6" ht="12.75">
      <c r="A489" s="907"/>
      <c r="B489" s="1094"/>
      <c r="C489" s="1095"/>
      <c r="D489" s="1096"/>
      <c r="E489" s="1065"/>
      <c r="F489" s="936"/>
    </row>
    <row r="490" spans="1:6" ht="25.5">
      <c r="A490" s="1017">
        <f>MAX($A$63:A489)+1</f>
        <v>72</v>
      </c>
      <c r="B490" s="1094" t="s">
        <v>1937</v>
      </c>
      <c r="C490" s="1095"/>
      <c r="D490" s="1096"/>
      <c r="E490" s="1065"/>
      <c r="F490" s="936"/>
    </row>
    <row r="491" spans="1:6" ht="12.75">
      <c r="A491" s="907"/>
      <c r="B491" s="1094" t="s">
        <v>1936</v>
      </c>
      <c r="C491" s="1095" t="s">
        <v>520</v>
      </c>
      <c r="D491" s="1096">
        <v>1</v>
      </c>
      <c r="E491" s="1091"/>
      <c r="F491" s="1092">
        <f>+E491*D491</f>
        <v>0</v>
      </c>
    </row>
    <row r="492" spans="1:6" ht="12.75">
      <c r="A492" s="907"/>
      <c r="B492" s="1094"/>
      <c r="C492" s="1095"/>
      <c r="D492" s="1096"/>
      <c r="E492" s="1065"/>
      <c r="F492" s="936"/>
    </row>
    <row r="493" spans="1:6" ht="12.75">
      <c r="A493" s="1090">
        <f>MAX($A$65:A486)+1</f>
        <v>71</v>
      </c>
      <c r="B493" s="985" t="s">
        <v>1938</v>
      </c>
      <c r="C493" s="980" t="s">
        <v>1697</v>
      </c>
      <c r="D493" s="981">
        <v>1</v>
      </c>
      <c r="E493" s="1091"/>
      <c r="F493" s="1092">
        <f>+E493*D493</f>
        <v>0</v>
      </c>
    </row>
    <row r="494" spans="1:6" ht="12.75">
      <c r="A494" s="1093"/>
      <c r="B494" s="985"/>
      <c r="C494" s="980"/>
      <c r="D494" s="981"/>
      <c r="E494" s="1079"/>
      <c r="F494" s="1080"/>
    </row>
    <row r="495" spans="1:6" ht="12.75">
      <c r="A495" s="907"/>
      <c r="B495" s="1097" t="s">
        <v>1939</v>
      </c>
      <c r="C495" s="980"/>
      <c r="D495" s="981"/>
      <c r="E495" s="1065"/>
      <c r="F495" s="936"/>
    </row>
    <row r="496" spans="1:6" ht="12.75">
      <c r="A496" s="907"/>
      <c r="B496" s="941"/>
      <c r="C496" s="980"/>
      <c r="D496" s="981"/>
      <c r="E496" s="1065"/>
      <c r="F496" s="936"/>
    </row>
    <row r="497" spans="1:6" ht="38.25">
      <c r="A497" s="1090">
        <f>MAX($A$65:A496)+1</f>
        <v>73</v>
      </c>
      <c r="B497" s="983" t="s">
        <v>1940</v>
      </c>
      <c r="C497" s="980"/>
      <c r="D497" s="981"/>
      <c r="E497" s="1098"/>
      <c r="F497" s="936"/>
    </row>
    <row r="498" spans="1:6" ht="12.75">
      <c r="A498" s="1073"/>
      <c r="B498" s="969" t="s">
        <v>1941</v>
      </c>
      <c r="C498" s="994" t="s">
        <v>520</v>
      </c>
      <c r="D498" s="995">
        <v>27</v>
      </c>
      <c r="E498" s="1008"/>
      <c r="F498" s="1070">
        <f>D498*E498</f>
        <v>0</v>
      </c>
    </row>
    <row r="499" spans="1:6" ht="12.75">
      <c r="A499" s="1099"/>
      <c r="B499" s="969"/>
      <c r="C499" s="994"/>
      <c r="D499" s="995"/>
      <c r="E499" s="1100"/>
      <c r="F499" s="936"/>
    </row>
    <row r="500" spans="1:6" ht="51">
      <c r="A500" s="1090">
        <f>MAX($A$65:A499)+1</f>
        <v>74</v>
      </c>
      <c r="B500" s="1026" t="s">
        <v>2206</v>
      </c>
      <c r="C500" s="994"/>
      <c r="D500" s="995"/>
      <c r="E500" s="1098"/>
      <c r="F500" s="936"/>
    </row>
    <row r="501" spans="1:6" ht="12.75">
      <c r="A501" s="1073"/>
      <c r="B501" s="1026" t="s">
        <v>1941</v>
      </c>
      <c r="C501" s="994" t="s">
        <v>520</v>
      </c>
      <c r="D501" s="995">
        <v>4</v>
      </c>
      <c r="E501" s="1008"/>
      <c r="F501" s="1070">
        <f>D501*E501</f>
        <v>0</v>
      </c>
    </row>
    <row r="502" spans="1:6" ht="12.75">
      <c r="A502" s="1099"/>
      <c r="B502" s="1026"/>
      <c r="C502" s="994"/>
      <c r="D502" s="995"/>
      <c r="E502" s="1100"/>
      <c r="F502" s="936"/>
    </row>
    <row r="503" spans="1:6" ht="25.5">
      <c r="A503" s="1090">
        <f>MAX($A$65:A502)+1</f>
        <v>75</v>
      </c>
      <c r="B503" s="1026" t="s">
        <v>1942</v>
      </c>
      <c r="C503" s="994"/>
      <c r="D503" s="995"/>
      <c r="E503" s="1098"/>
      <c r="F503" s="936"/>
    </row>
    <row r="504" spans="1:6" ht="25.5">
      <c r="A504" s="1073"/>
      <c r="B504" s="1026" t="s">
        <v>1943</v>
      </c>
      <c r="C504" s="994"/>
      <c r="D504" s="995"/>
      <c r="E504" s="1100"/>
      <c r="F504" s="936"/>
    </row>
    <row r="505" spans="1:6" ht="12.75">
      <c r="A505" s="1099"/>
      <c r="B505" s="1026" t="s">
        <v>1944</v>
      </c>
      <c r="C505" s="994"/>
      <c r="D505" s="995"/>
      <c r="E505" s="1098"/>
      <c r="F505" s="936"/>
    </row>
    <row r="506" spans="1:6" ht="12.75">
      <c r="A506" s="1073"/>
      <c r="B506" s="1026" t="s">
        <v>1945</v>
      </c>
      <c r="C506" s="994"/>
      <c r="D506" s="995"/>
      <c r="E506" s="1100"/>
      <c r="F506" s="936"/>
    </row>
    <row r="507" spans="1:6" ht="25.5">
      <c r="A507" s="1073"/>
      <c r="B507" s="1026" t="s">
        <v>1946</v>
      </c>
      <c r="C507" s="994"/>
      <c r="D507" s="995"/>
      <c r="E507" s="1100"/>
      <c r="F507" s="936"/>
    </row>
    <row r="508" spans="1:6" ht="12.75">
      <c r="A508" s="1073"/>
      <c r="B508" s="1026" t="s">
        <v>1947</v>
      </c>
      <c r="C508" s="994"/>
      <c r="D508" s="995"/>
      <c r="E508" s="1100"/>
      <c r="F508" s="936"/>
    </row>
    <row r="509" spans="1:6" ht="12.75">
      <c r="A509" s="1099"/>
      <c r="B509" s="1026" t="s">
        <v>1948</v>
      </c>
      <c r="C509" s="994"/>
      <c r="D509" s="995"/>
      <c r="E509" s="1100"/>
      <c r="F509" s="936"/>
    </row>
    <row r="510" spans="1:6" ht="12.75">
      <c r="A510" s="1099"/>
      <c r="B510" s="1026" t="s">
        <v>1949</v>
      </c>
      <c r="C510" s="994"/>
      <c r="D510" s="995"/>
      <c r="E510" s="1100"/>
      <c r="F510" s="936"/>
    </row>
    <row r="511" spans="1:6" ht="12.75">
      <c r="A511" s="1073"/>
      <c r="B511" s="1026" t="s">
        <v>1950</v>
      </c>
      <c r="C511" s="994"/>
      <c r="D511" s="995"/>
      <c r="E511" s="1100"/>
      <c r="F511" s="936"/>
    </row>
    <row r="512" spans="1:6" ht="12.75">
      <c r="A512" s="1073"/>
      <c r="B512" s="1026" t="s">
        <v>1951</v>
      </c>
      <c r="C512" s="994" t="s">
        <v>520</v>
      </c>
      <c r="D512" s="995">
        <v>27</v>
      </c>
      <c r="E512" s="1008"/>
      <c r="F512" s="1070">
        <f>D512*E512</f>
        <v>0</v>
      </c>
    </row>
    <row r="513" spans="1:6" ht="12.75">
      <c r="A513" s="1073"/>
      <c r="B513" s="1026"/>
      <c r="C513" s="994"/>
      <c r="D513" s="995"/>
      <c r="E513" s="1100"/>
      <c r="F513" s="936"/>
    </row>
    <row r="514" spans="1:6" ht="25.5">
      <c r="A514" s="1090">
        <f>MAX($A$65:A513)+1</f>
        <v>76</v>
      </c>
      <c r="B514" s="1026" t="s">
        <v>1942</v>
      </c>
      <c r="C514" s="994"/>
      <c r="D514" s="995"/>
      <c r="E514" s="1100"/>
      <c r="F514" s="936"/>
    </row>
    <row r="515" spans="1:6" ht="25.5">
      <c r="A515" s="1073"/>
      <c r="B515" s="1026" t="s">
        <v>1952</v>
      </c>
      <c r="C515" s="994"/>
      <c r="D515" s="995"/>
      <c r="E515" s="1100"/>
      <c r="F515" s="936"/>
    </row>
    <row r="516" spans="1:6" ht="12.75">
      <c r="A516" s="1073"/>
      <c r="B516" s="1026" t="s">
        <v>1944</v>
      </c>
      <c r="C516" s="994"/>
      <c r="D516" s="995"/>
      <c r="E516" s="1098"/>
      <c r="F516" s="936"/>
    </row>
    <row r="517" spans="1:6" ht="12.75">
      <c r="A517" s="1073"/>
      <c r="B517" s="1026" t="s">
        <v>1945</v>
      </c>
      <c r="C517" s="994"/>
      <c r="D517" s="995"/>
      <c r="E517" s="1100"/>
      <c r="F517" s="936"/>
    </row>
    <row r="518" spans="1:6" ht="25.5">
      <c r="A518" s="1099"/>
      <c r="B518" s="1026" t="s">
        <v>1946</v>
      </c>
      <c r="C518" s="994"/>
      <c r="D518" s="995"/>
      <c r="E518" s="1100"/>
      <c r="F518" s="936"/>
    </row>
    <row r="519" spans="1:6" ht="38.25">
      <c r="A519" s="1073"/>
      <c r="B519" s="1026" t="s">
        <v>1953</v>
      </c>
      <c r="C519" s="994"/>
      <c r="D519" s="995"/>
      <c r="E519" s="1100"/>
      <c r="F519" s="936"/>
    </row>
    <row r="520" spans="1:6" ht="12.75">
      <c r="A520" s="1073"/>
      <c r="B520" s="1026" t="s">
        <v>1947</v>
      </c>
      <c r="C520" s="994"/>
      <c r="D520" s="995"/>
      <c r="E520" s="1100"/>
      <c r="F520" s="936"/>
    </row>
    <row r="521" spans="1:6" ht="12.75">
      <c r="A521" s="1073"/>
      <c r="B521" s="1026" t="s">
        <v>1948</v>
      </c>
      <c r="C521" s="994"/>
      <c r="D521" s="995"/>
      <c r="E521" s="1098"/>
      <c r="F521" s="936"/>
    </row>
    <row r="522" spans="1:6" ht="12.75">
      <c r="A522" s="1073"/>
      <c r="B522" s="1026" t="s">
        <v>1949</v>
      </c>
      <c r="C522" s="994"/>
      <c r="D522" s="995"/>
      <c r="E522" s="1100"/>
      <c r="F522" s="936"/>
    </row>
    <row r="523" spans="1:6" ht="12.75">
      <c r="A523" s="1099"/>
      <c r="B523" s="1026" t="s">
        <v>1950</v>
      </c>
      <c r="C523" s="994"/>
      <c r="D523" s="995"/>
      <c r="E523" s="1100"/>
      <c r="F523" s="936"/>
    </row>
    <row r="524" spans="1:6" ht="12.75">
      <c r="A524" s="1073"/>
      <c r="B524" s="1055" t="s">
        <v>1951</v>
      </c>
      <c r="C524" s="994" t="s">
        <v>520</v>
      </c>
      <c r="D524" s="995">
        <v>4</v>
      </c>
      <c r="E524" s="1008"/>
      <c r="F524" s="1070">
        <f>D524*E524</f>
        <v>0</v>
      </c>
    </row>
    <row r="525" spans="1:6" ht="12.75">
      <c r="A525" s="1099"/>
      <c r="B525" s="1026"/>
      <c r="C525" s="994"/>
      <c r="D525" s="995"/>
      <c r="E525" s="1100"/>
      <c r="F525" s="936"/>
    </row>
    <row r="526" spans="1:6" ht="76.5">
      <c r="A526" s="1090">
        <f>MAX($A$65:A525)+1</f>
        <v>77</v>
      </c>
      <c r="B526" s="1055" t="s">
        <v>2207</v>
      </c>
      <c r="C526" s="1102"/>
      <c r="D526" s="995"/>
      <c r="E526" s="1065"/>
      <c r="F526" s="936"/>
    </row>
    <row r="527" spans="1:6" ht="12.75">
      <c r="A527" s="907"/>
      <c r="B527" s="1055" t="s">
        <v>1954</v>
      </c>
      <c r="C527" s="1102"/>
      <c r="D527" s="995"/>
      <c r="E527" s="1065"/>
      <c r="F527" s="936"/>
    </row>
    <row r="528" spans="1:6" ht="12.75">
      <c r="A528" s="907"/>
      <c r="B528" s="1055" t="s">
        <v>1955</v>
      </c>
      <c r="C528" s="1102" t="s">
        <v>520</v>
      </c>
      <c r="D528" s="995">
        <v>9</v>
      </c>
      <c r="E528" s="1008"/>
      <c r="F528" s="1070">
        <f>D528*E528</f>
        <v>0</v>
      </c>
    </row>
    <row r="529" spans="1:6" ht="12.75">
      <c r="A529" s="907"/>
      <c r="B529" s="1055" t="s">
        <v>1941</v>
      </c>
      <c r="C529" s="1102"/>
      <c r="D529" s="995"/>
      <c r="E529" s="1065"/>
      <c r="F529" s="936"/>
    </row>
    <row r="530" spans="1:6" ht="12.75">
      <c r="A530" s="907"/>
      <c r="B530" s="1055" t="s">
        <v>1956</v>
      </c>
      <c r="C530" s="1102" t="s">
        <v>520</v>
      </c>
      <c r="D530" s="995">
        <v>20</v>
      </c>
      <c r="E530" s="1008"/>
      <c r="F530" s="1070">
        <f>D530*E530</f>
        <v>0</v>
      </c>
    </row>
    <row r="531" spans="1:6" ht="12.75">
      <c r="A531" s="907"/>
      <c r="B531" s="1055"/>
      <c r="C531" s="1102"/>
      <c r="D531" s="995"/>
      <c r="E531" s="1065"/>
      <c r="F531" s="936"/>
    </row>
    <row r="532" spans="1:6" ht="63.75">
      <c r="A532" s="1090">
        <f>MAX($A$65:A531)+1</f>
        <v>78</v>
      </c>
      <c r="B532" s="1026" t="s">
        <v>2208</v>
      </c>
      <c r="C532" s="994"/>
      <c r="D532" s="995"/>
      <c r="E532" s="1098"/>
      <c r="F532" s="936"/>
    </row>
    <row r="533" spans="1:6" ht="12.75">
      <c r="A533" s="1073"/>
      <c r="B533" s="1055" t="s">
        <v>1941</v>
      </c>
      <c r="C533" s="994"/>
      <c r="D533" s="995"/>
      <c r="E533" s="1100"/>
      <c r="F533" s="936"/>
    </row>
    <row r="534" spans="1:6" ht="12.75">
      <c r="A534" s="1099"/>
      <c r="B534" s="1055" t="s">
        <v>1956</v>
      </c>
      <c r="C534" s="994" t="s">
        <v>520</v>
      </c>
      <c r="D534" s="995">
        <v>4</v>
      </c>
      <c r="E534" s="1008"/>
      <c r="F534" s="1070">
        <f>D534*E534</f>
        <v>0</v>
      </c>
    </row>
    <row r="535" spans="1:6" ht="12.75">
      <c r="A535" s="1073"/>
      <c r="B535" s="1026"/>
      <c r="C535" s="994"/>
      <c r="D535" s="995"/>
      <c r="E535" s="1100"/>
      <c r="F535" s="936"/>
    </row>
    <row r="536" spans="1:6" ht="38.25">
      <c r="A536" s="1090">
        <f>MAX($A$65:A535)+1</f>
        <v>79</v>
      </c>
      <c r="B536" s="1026" t="s">
        <v>1957</v>
      </c>
      <c r="C536" s="994"/>
      <c r="D536" s="995"/>
      <c r="E536" s="1100"/>
      <c r="F536" s="936"/>
    </row>
    <row r="537" spans="1:6" ht="12.75">
      <c r="A537" s="1073"/>
      <c r="B537" s="1026" t="s">
        <v>1958</v>
      </c>
      <c r="C537" s="994"/>
      <c r="D537" s="995"/>
      <c r="E537" s="1098"/>
      <c r="F537" s="936"/>
    </row>
    <row r="538" spans="1:6" ht="12.75">
      <c r="A538" s="1073"/>
      <c r="B538" s="1026" t="s">
        <v>1959</v>
      </c>
      <c r="C538" s="994"/>
      <c r="D538" s="995"/>
      <c r="E538" s="1098"/>
      <c r="F538" s="936"/>
    </row>
    <row r="539" spans="1:6" ht="12.75">
      <c r="A539" s="1073"/>
      <c r="B539" s="1026" t="s">
        <v>1960</v>
      </c>
      <c r="C539" s="994"/>
      <c r="D539" s="995"/>
      <c r="E539" s="1098"/>
      <c r="F539" s="936"/>
    </row>
    <row r="540" spans="1:6" ht="12.75">
      <c r="A540" s="1073"/>
      <c r="B540" s="1026" t="s">
        <v>1961</v>
      </c>
      <c r="C540" s="994" t="s">
        <v>520</v>
      </c>
      <c r="D540" s="995">
        <v>33</v>
      </c>
      <c r="E540" s="1008"/>
      <c r="F540" s="1070">
        <f>D540*E540</f>
        <v>0</v>
      </c>
    </row>
    <row r="541" spans="1:6" ht="12.75">
      <c r="A541" s="1099"/>
      <c r="B541" s="969"/>
      <c r="C541" s="994"/>
      <c r="D541" s="995"/>
      <c r="E541" s="1100"/>
      <c r="F541" s="936"/>
    </row>
    <row r="542" spans="1:6" ht="63.75">
      <c r="A542" s="1090">
        <f>MAX($A$65:A541)+1</f>
        <v>80</v>
      </c>
      <c r="B542" s="969" t="s">
        <v>1962</v>
      </c>
      <c r="C542" s="994"/>
      <c r="D542" s="995"/>
      <c r="E542" s="1098"/>
      <c r="F542" s="936"/>
    </row>
    <row r="543" spans="1:6" ht="12.75">
      <c r="A543" s="1073"/>
      <c r="B543" s="969"/>
      <c r="C543" s="994" t="s">
        <v>520</v>
      </c>
      <c r="D543" s="995">
        <v>23</v>
      </c>
      <c r="E543" s="1008"/>
      <c r="F543" s="1070">
        <f>D543*E543</f>
        <v>0</v>
      </c>
    </row>
    <row r="544" spans="1:6" ht="12.75">
      <c r="A544" s="1090">
        <f>MAX($A$65:A543)+1</f>
        <v>81</v>
      </c>
      <c r="B544" s="969" t="s">
        <v>1963</v>
      </c>
      <c r="C544" s="994"/>
      <c r="D544" s="995"/>
      <c r="E544" s="1072"/>
      <c r="F544" s="980"/>
    </row>
    <row r="545" spans="1:6" ht="25.5">
      <c r="A545" s="1017"/>
      <c r="B545" s="969" t="s">
        <v>1964</v>
      </c>
      <c r="C545" s="994"/>
      <c r="D545" s="995"/>
      <c r="E545" s="1072"/>
      <c r="F545" s="980"/>
    </row>
    <row r="546" spans="1:6" ht="12.75">
      <c r="A546" s="1017"/>
      <c r="B546" s="969" t="s">
        <v>1965</v>
      </c>
      <c r="C546" s="994"/>
      <c r="D546" s="995"/>
      <c r="E546" s="1072"/>
      <c r="F546" s="980"/>
    </row>
    <row r="547" spans="1:6" ht="25.5">
      <c r="A547" s="1017"/>
      <c r="B547" s="969" t="s">
        <v>1966</v>
      </c>
      <c r="C547" s="994"/>
      <c r="D547" s="995"/>
      <c r="E547" s="1072"/>
      <c r="F547" s="980"/>
    </row>
    <row r="548" spans="1:6" ht="51">
      <c r="A548" s="1017"/>
      <c r="B548" s="1103" t="s">
        <v>1967</v>
      </c>
      <c r="C548" s="994"/>
      <c r="D548" s="995"/>
      <c r="E548" s="1072"/>
      <c r="F548" s="980"/>
    </row>
    <row r="549" spans="1:6" ht="12.75">
      <c r="A549" s="1017"/>
      <c r="B549" s="969" t="s">
        <v>1968</v>
      </c>
      <c r="C549" s="994"/>
      <c r="D549" s="995"/>
      <c r="E549" s="1072"/>
      <c r="F549" s="980"/>
    </row>
    <row r="550" spans="1:6" ht="12.75">
      <c r="A550" s="1017"/>
      <c r="B550" s="969" t="s">
        <v>1969</v>
      </c>
      <c r="C550" s="994"/>
      <c r="D550" s="995"/>
      <c r="E550" s="1072"/>
      <c r="F550" s="980"/>
    </row>
    <row r="551" spans="1:6" ht="12.75">
      <c r="A551" s="1017"/>
      <c r="B551" s="969" t="s">
        <v>1970</v>
      </c>
      <c r="C551" s="994"/>
      <c r="D551" s="995"/>
      <c r="E551" s="1072"/>
      <c r="F551" s="980"/>
    </row>
    <row r="552" spans="1:6" ht="12.75">
      <c r="A552" s="1017"/>
      <c r="B552" s="969" t="s">
        <v>1971</v>
      </c>
      <c r="C552" s="994"/>
      <c r="D552" s="995"/>
      <c r="E552" s="1072"/>
      <c r="F552" s="980"/>
    </row>
    <row r="553" spans="1:6" ht="12.75">
      <c r="A553" s="1073"/>
      <c r="B553" s="969" t="s">
        <v>1972</v>
      </c>
      <c r="C553" s="994" t="s">
        <v>520</v>
      </c>
      <c r="D553" s="995">
        <v>19</v>
      </c>
      <c r="E553" s="1008"/>
      <c r="F553" s="1070">
        <f>D553*E553</f>
        <v>0</v>
      </c>
    </row>
    <row r="554" spans="1:6" ht="12.75">
      <c r="A554" s="1073"/>
      <c r="B554" s="969"/>
      <c r="C554" s="994"/>
      <c r="D554" s="995"/>
      <c r="E554" s="1100"/>
      <c r="F554" s="936"/>
    </row>
    <row r="555" spans="1:6" ht="12.75">
      <c r="A555" s="1090">
        <f>MAX($A$65:A554)+1</f>
        <v>82</v>
      </c>
      <c r="B555" s="969" t="s">
        <v>1963</v>
      </c>
      <c r="C555" s="994"/>
      <c r="D555" s="995"/>
      <c r="E555" s="1072"/>
      <c r="F555" s="980"/>
    </row>
    <row r="556" spans="1:6" ht="25.5">
      <c r="A556" s="1017"/>
      <c r="B556" s="969" t="s">
        <v>1973</v>
      </c>
      <c r="C556" s="994"/>
      <c r="D556" s="995"/>
      <c r="E556" s="1072"/>
      <c r="F556" s="980"/>
    </row>
    <row r="557" spans="1:6" ht="12.75">
      <c r="A557" s="1073"/>
      <c r="B557" s="969" t="s">
        <v>1974</v>
      </c>
      <c r="C557" s="994"/>
      <c r="D557" s="995"/>
      <c r="E557" s="1100"/>
      <c r="F557" s="936"/>
    </row>
    <row r="558" spans="1:6" ht="25.5">
      <c r="A558" s="1017"/>
      <c r="B558" s="969" t="s">
        <v>1975</v>
      </c>
      <c r="C558" s="994"/>
      <c r="D558" s="995"/>
      <c r="E558" s="1072"/>
      <c r="F558" s="980"/>
    </row>
    <row r="559" spans="1:6" ht="12.75">
      <c r="A559" s="1073"/>
      <c r="B559" s="969" t="s">
        <v>1974</v>
      </c>
      <c r="C559" s="994"/>
      <c r="D559" s="995"/>
      <c r="E559" s="1100"/>
      <c r="F559" s="936"/>
    </row>
    <row r="560" spans="1:6" ht="12.75">
      <c r="A560" s="1017"/>
      <c r="B560" s="969" t="s">
        <v>1965</v>
      </c>
      <c r="C560" s="994"/>
      <c r="D560" s="995"/>
      <c r="E560" s="1072"/>
      <c r="F560" s="980"/>
    </row>
    <row r="561" spans="1:6" ht="51">
      <c r="A561" s="1017"/>
      <c r="B561" s="1103" t="s">
        <v>1967</v>
      </c>
      <c r="C561" s="994"/>
      <c r="D561" s="995"/>
      <c r="E561" s="1072"/>
      <c r="F561" s="980"/>
    </row>
    <row r="562" spans="1:6" ht="12.75">
      <c r="A562" s="1017"/>
      <c r="B562" s="1026" t="s">
        <v>1968</v>
      </c>
      <c r="C562" s="994"/>
      <c r="D562" s="995"/>
      <c r="E562" s="1072"/>
      <c r="F562" s="980"/>
    </row>
    <row r="563" spans="1:6" ht="12.75">
      <c r="A563" s="1017"/>
      <c r="B563" s="969" t="s">
        <v>1969</v>
      </c>
      <c r="C563" s="994"/>
      <c r="D563" s="995"/>
      <c r="E563" s="1072"/>
      <c r="F563" s="980"/>
    </row>
    <row r="564" spans="1:6" ht="12.75">
      <c r="A564" s="1017"/>
      <c r="B564" s="969" t="s">
        <v>1970</v>
      </c>
      <c r="C564" s="994"/>
      <c r="D564" s="995"/>
      <c r="E564" s="1072"/>
      <c r="F564" s="980"/>
    </row>
    <row r="565" spans="1:6" ht="12.75">
      <c r="A565" s="1017"/>
      <c r="B565" s="969" t="s">
        <v>1971</v>
      </c>
      <c r="C565" s="994"/>
      <c r="D565" s="995"/>
      <c r="E565" s="1072"/>
      <c r="F565" s="980"/>
    </row>
    <row r="566" spans="1:6" ht="12.75">
      <c r="A566" s="1073"/>
      <c r="B566" s="969" t="s">
        <v>1972</v>
      </c>
      <c r="C566" s="994" t="s">
        <v>520</v>
      </c>
      <c r="D566" s="995">
        <v>4</v>
      </c>
      <c r="E566" s="1008"/>
      <c r="F566" s="1070">
        <f>D566*E566</f>
        <v>0</v>
      </c>
    </row>
    <row r="567" spans="1:6" ht="12.75">
      <c r="A567" s="1073"/>
      <c r="B567" s="969"/>
      <c r="C567" s="994"/>
      <c r="D567" s="995"/>
      <c r="E567" s="1098"/>
      <c r="F567" s="1070"/>
    </row>
    <row r="568" spans="1:6" ht="12.75">
      <c r="A568" s="1090">
        <f>MAX($A$65:A567)+1</f>
        <v>83</v>
      </c>
      <c r="B568" s="969" t="s">
        <v>1976</v>
      </c>
      <c r="C568" s="994"/>
      <c r="D568" s="995"/>
      <c r="E568" s="1065"/>
      <c r="F568" s="936"/>
    </row>
    <row r="569" spans="1:6" ht="12.75">
      <c r="A569" s="907"/>
      <c r="B569" s="969" t="s">
        <v>1977</v>
      </c>
      <c r="C569" s="994"/>
      <c r="D569" s="995"/>
      <c r="E569" s="1065"/>
      <c r="F569" s="936"/>
    </row>
    <row r="570" spans="1:6" ht="12.75">
      <c r="A570" s="907"/>
      <c r="B570" s="969" t="s">
        <v>1978</v>
      </c>
      <c r="C570" s="994"/>
      <c r="D570" s="995"/>
      <c r="E570" s="1065"/>
      <c r="F570" s="936"/>
    </row>
    <row r="571" spans="1:6" ht="12.75">
      <c r="A571" s="907"/>
      <c r="B571" s="969" t="s">
        <v>1979</v>
      </c>
      <c r="C571" s="994"/>
      <c r="D571" s="995"/>
      <c r="E571" s="1065"/>
      <c r="F571" s="936"/>
    </row>
    <row r="572" spans="1:6" ht="12.75">
      <c r="A572" s="907"/>
      <c r="B572" s="969" t="s">
        <v>1980</v>
      </c>
      <c r="C572" s="994"/>
      <c r="D572" s="995"/>
      <c r="E572" s="1065"/>
      <c r="F572" s="936"/>
    </row>
    <row r="573" spans="1:6" ht="12.75">
      <c r="A573" s="907"/>
      <c r="B573" s="969" t="s">
        <v>1981</v>
      </c>
      <c r="C573" s="994" t="s">
        <v>520</v>
      </c>
      <c r="D573" s="995">
        <v>1</v>
      </c>
      <c r="E573" s="1008"/>
      <c r="F573" s="1070">
        <f>D573*E573</f>
        <v>0</v>
      </c>
    </row>
    <row r="574" spans="1:6" ht="12.75">
      <c r="A574" s="907"/>
      <c r="B574" s="969"/>
      <c r="C574" s="994"/>
      <c r="D574" s="995"/>
      <c r="E574" s="1065"/>
      <c r="F574" s="936"/>
    </row>
    <row r="575" spans="1:6" ht="25.5">
      <c r="A575" s="1090">
        <f>MAX($A$65:A574)+1</f>
        <v>84</v>
      </c>
      <c r="B575" s="969" t="s">
        <v>1982</v>
      </c>
      <c r="C575" s="994"/>
      <c r="D575" s="995"/>
      <c r="E575" s="1065"/>
      <c r="F575" s="936"/>
    </row>
    <row r="576" spans="1:6" ht="12.75">
      <c r="A576" s="907"/>
      <c r="B576" s="969" t="s">
        <v>1958</v>
      </c>
      <c r="C576" s="994"/>
      <c r="D576" s="995"/>
      <c r="E576" s="1065"/>
      <c r="F576" s="936"/>
    </row>
    <row r="577" spans="1:6" ht="12.75">
      <c r="A577" s="907"/>
      <c r="B577" s="969" t="s">
        <v>1959</v>
      </c>
      <c r="C577" s="994"/>
      <c r="D577" s="995"/>
      <c r="E577" s="1065"/>
      <c r="F577" s="936"/>
    </row>
    <row r="578" spans="1:6" ht="12.75">
      <c r="A578" s="907"/>
      <c r="B578" s="969" t="s">
        <v>1983</v>
      </c>
      <c r="C578" s="994"/>
      <c r="D578" s="995"/>
      <c r="E578" s="1065"/>
      <c r="F578" s="936"/>
    </row>
    <row r="579" spans="1:6" ht="12.75">
      <c r="A579" s="907"/>
      <c r="B579" s="969" t="s">
        <v>1984</v>
      </c>
      <c r="C579" s="994" t="s">
        <v>520</v>
      </c>
      <c r="D579" s="995">
        <v>1</v>
      </c>
      <c r="E579" s="1008"/>
      <c r="F579" s="1070">
        <f>D579*E579</f>
        <v>0</v>
      </c>
    </row>
    <row r="580" spans="1:6" ht="12.75">
      <c r="A580" s="1073"/>
      <c r="B580" s="969"/>
      <c r="C580" s="994"/>
      <c r="D580" s="995"/>
      <c r="E580" s="1098"/>
      <c r="F580" s="1070"/>
    </row>
    <row r="581" spans="1:6" ht="63.75">
      <c r="A581" s="1090">
        <f>MAX($A$65:A580)+1</f>
        <v>85</v>
      </c>
      <c r="B581" s="969" t="s">
        <v>1985</v>
      </c>
      <c r="C581" s="994"/>
      <c r="D581" s="995"/>
      <c r="E581" s="1065"/>
      <c r="F581" s="936"/>
    </row>
    <row r="582" spans="1:6" ht="12.75">
      <c r="A582" s="907"/>
      <c r="B582" s="969" t="s">
        <v>1986</v>
      </c>
      <c r="C582" s="994"/>
      <c r="D582" s="995"/>
      <c r="E582" s="1065"/>
      <c r="F582" s="936"/>
    </row>
    <row r="583" spans="1:6" ht="12.75">
      <c r="A583" s="907"/>
      <c r="B583" s="969" t="s">
        <v>1821</v>
      </c>
      <c r="C583" s="994" t="s">
        <v>520</v>
      </c>
      <c r="D583" s="995">
        <v>6</v>
      </c>
      <c r="E583" s="1008"/>
      <c r="F583" s="1070">
        <f>D583*E583</f>
        <v>0</v>
      </c>
    </row>
    <row r="584" spans="1:6" ht="12.75">
      <c r="A584" s="907"/>
      <c r="B584" s="969" t="s">
        <v>1743</v>
      </c>
      <c r="C584" s="994" t="s">
        <v>520</v>
      </c>
      <c r="D584" s="995">
        <v>1</v>
      </c>
      <c r="E584" s="1008"/>
      <c r="F584" s="1070">
        <f>D584*E584</f>
        <v>0</v>
      </c>
    </row>
    <row r="585" spans="1:6" ht="12.75">
      <c r="A585" s="907"/>
      <c r="B585" s="969"/>
      <c r="C585" s="994"/>
      <c r="D585" s="995"/>
      <c r="E585" s="1065"/>
      <c r="F585" s="936"/>
    </row>
    <row r="586" spans="1:6" ht="25.5">
      <c r="A586" s="1090">
        <f>MAX($A$65:A585)+1</f>
        <v>86</v>
      </c>
      <c r="B586" s="969" t="s">
        <v>1987</v>
      </c>
      <c r="C586" s="994"/>
      <c r="D586" s="995"/>
      <c r="E586" s="1065"/>
      <c r="F586" s="936"/>
    </row>
    <row r="587" spans="1:6" ht="12.75">
      <c r="A587" s="1017"/>
      <c r="B587" s="969" t="s">
        <v>1988</v>
      </c>
      <c r="C587" s="994"/>
      <c r="D587" s="995"/>
      <c r="E587" s="1065"/>
      <c r="F587" s="936"/>
    </row>
    <row r="588" spans="1:6" ht="12.75">
      <c r="A588" s="907"/>
      <c r="B588" s="969" t="s">
        <v>1989</v>
      </c>
      <c r="C588" s="994" t="s">
        <v>520</v>
      </c>
      <c r="D588" s="995">
        <v>6</v>
      </c>
      <c r="E588" s="1008"/>
      <c r="F588" s="1070">
        <f>D588*E588</f>
        <v>0</v>
      </c>
    </row>
    <row r="589" spans="1:6" ht="12.75">
      <c r="A589" s="907"/>
      <c r="B589" s="969" t="s">
        <v>1990</v>
      </c>
      <c r="C589" s="994" t="s">
        <v>520</v>
      </c>
      <c r="D589" s="995">
        <v>7</v>
      </c>
      <c r="E589" s="1008"/>
      <c r="F589" s="1070">
        <f>D589*E589</f>
        <v>0</v>
      </c>
    </row>
    <row r="590" spans="1:6" ht="12.75">
      <c r="A590" s="907"/>
      <c r="B590" s="969" t="s">
        <v>1991</v>
      </c>
      <c r="C590" s="994" t="s">
        <v>520</v>
      </c>
      <c r="D590" s="995">
        <v>3</v>
      </c>
      <c r="E590" s="1008"/>
      <c r="F590" s="1070">
        <f>D590*E590</f>
        <v>0</v>
      </c>
    </row>
    <row r="591" spans="1:6" ht="12.75">
      <c r="A591" s="907"/>
      <c r="B591" s="969" t="s">
        <v>1992</v>
      </c>
      <c r="C591" s="994" t="s">
        <v>520</v>
      </c>
      <c r="D591" s="995">
        <v>2</v>
      </c>
      <c r="E591" s="1008"/>
      <c r="F591" s="1070">
        <f>D591*E591</f>
        <v>0</v>
      </c>
    </row>
    <row r="592" spans="1:6" ht="12.75">
      <c r="A592" s="907"/>
      <c r="B592" s="969"/>
      <c r="C592" s="994"/>
      <c r="D592" s="995"/>
      <c r="E592" s="1065"/>
      <c r="F592" s="936"/>
    </row>
    <row r="593" spans="1:6" ht="12.75">
      <c r="A593" s="1090">
        <f>MAX($A$65:A591)+1</f>
        <v>87</v>
      </c>
      <c r="B593" s="969" t="s">
        <v>1993</v>
      </c>
      <c r="C593" s="1080"/>
      <c r="D593" s="1104"/>
      <c r="E593" s="1105"/>
      <c r="F593" s="1106"/>
    </row>
    <row r="594" spans="1:6" ht="12.75">
      <c r="A594" s="1106"/>
      <c r="B594" s="969" t="s">
        <v>1994</v>
      </c>
      <c r="C594" s="1080"/>
      <c r="D594" s="1104"/>
      <c r="E594" s="1105"/>
      <c r="F594" s="1106"/>
    </row>
    <row r="595" spans="1:6" ht="12.75">
      <c r="A595" s="1106"/>
      <c r="B595" s="969" t="s">
        <v>1995</v>
      </c>
      <c r="C595" s="1080"/>
      <c r="D595" s="1104"/>
      <c r="E595" s="1105"/>
      <c r="F595" s="1106"/>
    </row>
    <row r="596" spans="1:6" ht="28.5">
      <c r="A596" s="1106"/>
      <c r="B596" s="969" t="s">
        <v>2280</v>
      </c>
      <c r="C596" s="1080"/>
      <c r="D596" s="1104"/>
      <c r="E596" s="1105"/>
      <c r="F596" s="1106"/>
    </row>
    <row r="597" spans="1:6" ht="25.5">
      <c r="A597" s="1106"/>
      <c r="B597" s="969" t="s">
        <v>1996</v>
      </c>
      <c r="C597" s="1080"/>
      <c r="D597" s="1104"/>
      <c r="E597" s="1105"/>
      <c r="F597" s="1106"/>
    </row>
    <row r="598" spans="1:6" ht="12.75">
      <c r="A598" s="1106"/>
      <c r="B598" s="969" t="s">
        <v>1997</v>
      </c>
      <c r="C598" s="1080"/>
      <c r="D598" s="1104"/>
      <c r="E598" s="1105"/>
      <c r="F598" s="1106"/>
    </row>
    <row r="599" spans="1:6" ht="12.75">
      <c r="A599" s="1106"/>
      <c r="B599" s="969" t="s">
        <v>1998</v>
      </c>
      <c r="C599" s="1080"/>
      <c r="D599" s="1104"/>
      <c r="E599" s="1105"/>
      <c r="F599" s="1106"/>
    </row>
    <row r="600" spans="1:6" ht="12.75">
      <c r="A600" s="1106"/>
      <c r="B600" s="969" t="s">
        <v>1999</v>
      </c>
      <c r="C600" s="1080"/>
      <c r="D600" s="1104"/>
      <c r="E600" s="1105"/>
      <c r="F600" s="1106"/>
    </row>
    <row r="601" spans="1:6" ht="12.75">
      <c r="A601" s="1106"/>
      <c r="B601" s="969" t="s">
        <v>2000</v>
      </c>
      <c r="C601" s="1080"/>
      <c r="D601" s="1104"/>
      <c r="E601" s="1105"/>
      <c r="F601" s="1106"/>
    </row>
    <row r="602" spans="1:6" ht="12.75">
      <c r="A602" s="1106"/>
      <c r="B602" s="969" t="s">
        <v>2001</v>
      </c>
      <c r="C602" s="1080"/>
      <c r="D602" s="1104"/>
      <c r="E602" s="1105"/>
      <c r="F602" s="1106"/>
    </row>
    <row r="603" spans="1:6" ht="12.75">
      <c r="A603" s="1106"/>
      <c r="B603" s="969" t="s">
        <v>2002</v>
      </c>
      <c r="C603" s="994" t="s">
        <v>520</v>
      </c>
      <c r="D603" s="995">
        <v>1</v>
      </c>
      <c r="E603" s="1008"/>
      <c r="F603" s="1070">
        <f>D603*E603</f>
        <v>0</v>
      </c>
    </row>
    <row r="604" spans="1:6" ht="12.75">
      <c r="A604" s="1106"/>
      <c r="B604" s="969"/>
      <c r="C604" s="1080"/>
      <c r="D604" s="1104"/>
      <c r="E604" s="1105"/>
      <c r="F604" s="1106"/>
    </row>
    <row r="605" spans="1:6" ht="28.5">
      <c r="A605" s="1090">
        <f>MAX($A$65:A604)+1</f>
        <v>88</v>
      </c>
      <c r="B605" s="969" t="s">
        <v>2281</v>
      </c>
      <c r="C605" s="1080"/>
      <c r="D605" s="1104"/>
      <c r="E605" s="1105"/>
      <c r="F605" s="1106"/>
    </row>
    <row r="606" spans="1:6" ht="25.5">
      <c r="A606" s="1106"/>
      <c r="B606" s="969" t="s">
        <v>2003</v>
      </c>
      <c r="C606" s="1080"/>
      <c r="D606" s="1104"/>
      <c r="E606" s="1105"/>
      <c r="F606" s="1106"/>
    </row>
    <row r="607" spans="1:6" ht="12.75">
      <c r="A607" s="1106"/>
      <c r="B607" s="969" t="s">
        <v>2004</v>
      </c>
      <c r="C607" s="994" t="s">
        <v>520</v>
      </c>
      <c r="D607" s="995">
        <v>23</v>
      </c>
      <c r="E607" s="1008"/>
      <c r="F607" s="1070">
        <f>D607*E607</f>
        <v>0</v>
      </c>
    </row>
    <row r="608" spans="1:6" ht="12.75">
      <c r="A608" s="1106"/>
      <c r="B608" s="969" t="s">
        <v>2005</v>
      </c>
      <c r="C608" s="994" t="s">
        <v>520</v>
      </c>
      <c r="D608" s="995">
        <v>23</v>
      </c>
      <c r="E608" s="1008"/>
      <c r="F608" s="1070">
        <f>D608*E608</f>
        <v>0</v>
      </c>
    </row>
    <row r="609" spans="1:6" ht="12.75">
      <c r="A609" s="1106"/>
      <c r="B609" s="969"/>
      <c r="C609" s="1080"/>
      <c r="D609" s="1104"/>
      <c r="E609" s="1105"/>
      <c r="F609" s="1106"/>
    </row>
    <row r="610" spans="1:6" ht="25.5">
      <c r="A610" s="1090">
        <f>MAX($A$65:A609)+1</f>
        <v>89</v>
      </c>
      <c r="B610" s="969" t="s">
        <v>2006</v>
      </c>
      <c r="C610" s="1080"/>
      <c r="D610" s="1104"/>
      <c r="E610" s="1105"/>
      <c r="F610" s="1106"/>
    </row>
    <row r="611" spans="1:6" ht="12.75">
      <c r="A611" s="1106"/>
      <c r="B611" s="969" t="s">
        <v>2007</v>
      </c>
      <c r="C611" s="994" t="s">
        <v>520</v>
      </c>
      <c r="D611" s="995">
        <v>1</v>
      </c>
      <c r="E611" s="1008"/>
      <c r="F611" s="1070">
        <f>D611*E611</f>
        <v>0</v>
      </c>
    </row>
    <row r="612" spans="1:6" ht="12.75">
      <c r="A612" s="1106"/>
      <c r="B612" s="969"/>
      <c r="C612" s="1080"/>
      <c r="D612" s="1104"/>
      <c r="E612" s="1105"/>
      <c r="F612" s="1106"/>
    </row>
    <row r="613" spans="1:6" ht="25.5">
      <c r="A613" s="1090">
        <f>MAX($A$65:A612)+1</f>
        <v>90</v>
      </c>
      <c r="B613" s="969" t="s">
        <v>2008</v>
      </c>
      <c r="C613" s="944"/>
      <c r="D613" s="977"/>
      <c r="E613" s="1065"/>
      <c r="F613" s="936"/>
    </row>
    <row r="614" spans="1:6" ht="12.75">
      <c r="A614" s="907"/>
      <c r="B614" s="969" t="s">
        <v>2009</v>
      </c>
      <c r="C614" s="944"/>
      <c r="D614" s="977"/>
      <c r="E614" s="1065"/>
      <c r="F614" s="936"/>
    </row>
    <row r="615" spans="1:6" ht="12.75">
      <c r="A615" s="907"/>
      <c r="B615" s="969" t="s">
        <v>2010</v>
      </c>
      <c r="C615" s="944"/>
      <c r="D615" s="977"/>
      <c r="E615" s="1065"/>
      <c r="F615" s="936"/>
    </row>
    <row r="616" spans="1:6" ht="12.75">
      <c r="A616" s="907"/>
      <c r="B616" s="969" t="s">
        <v>2011</v>
      </c>
      <c r="C616" s="944"/>
      <c r="D616" s="977"/>
      <c r="E616" s="1065"/>
      <c r="F616" s="936"/>
    </row>
    <row r="617" spans="1:6" ht="12.75">
      <c r="A617" s="907"/>
      <c r="B617" s="969" t="s">
        <v>2012</v>
      </c>
      <c r="C617" s="944"/>
      <c r="D617" s="977"/>
      <c r="E617" s="1065"/>
      <c r="F617" s="936"/>
    </row>
    <row r="618" spans="1:6" ht="12.75">
      <c r="A618" s="907"/>
      <c r="B618" s="969" t="s">
        <v>2013</v>
      </c>
      <c r="C618" s="944"/>
      <c r="D618" s="977"/>
      <c r="E618" s="1065"/>
      <c r="F618" s="936"/>
    </row>
    <row r="619" spans="1:6" ht="12.75">
      <c r="A619" s="907"/>
      <c r="B619" s="969" t="s">
        <v>2014</v>
      </c>
      <c r="C619" s="944"/>
      <c r="D619" s="977"/>
      <c r="E619" s="1065"/>
      <c r="F619" s="936"/>
    </row>
    <row r="620" spans="1:6" ht="12.75">
      <c r="A620" s="907"/>
      <c r="B620" s="969" t="s">
        <v>2015</v>
      </c>
      <c r="C620" s="944"/>
      <c r="D620" s="977"/>
      <c r="E620" s="1065"/>
      <c r="F620" s="936"/>
    </row>
    <row r="621" spans="1:6" ht="12.75">
      <c r="A621" s="907"/>
      <c r="B621" s="969" t="s">
        <v>2016</v>
      </c>
      <c r="C621" s="944"/>
      <c r="D621" s="977"/>
      <c r="E621" s="1065"/>
      <c r="F621" s="936"/>
    </row>
    <row r="622" spans="1:6" ht="12.75">
      <c r="A622" s="907"/>
      <c r="B622" s="969" t="s">
        <v>2017</v>
      </c>
      <c r="C622" s="944"/>
      <c r="D622" s="977"/>
      <c r="E622" s="1065"/>
      <c r="F622" s="936"/>
    </row>
    <row r="623" spans="1:6" ht="12.75">
      <c r="A623" s="907"/>
      <c r="B623" s="969" t="s">
        <v>2018</v>
      </c>
      <c r="C623" s="944"/>
      <c r="D623" s="977"/>
      <c r="E623" s="1065"/>
      <c r="F623" s="936"/>
    </row>
    <row r="624" spans="1:6" ht="12.75">
      <c r="A624" s="907"/>
      <c r="B624" s="969" t="s">
        <v>2019</v>
      </c>
      <c r="C624" s="944"/>
      <c r="D624" s="977"/>
      <c r="E624" s="1065"/>
      <c r="F624" s="936"/>
    </row>
    <row r="625" spans="1:6" ht="12.75">
      <c r="A625" s="907"/>
      <c r="B625" s="969" t="s">
        <v>2020</v>
      </c>
      <c r="C625" s="944"/>
      <c r="D625" s="977"/>
      <c r="E625" s="1065"/>
      <c r="F625" s="936"/>
    </row>
    <row r="626" spans="1:6" ht="12.75">
      <c r="A626" s="907"/>
      <c r="B626" s="969" t="s">
        <v>2021</v>
      </c>
      <c r="C626" s="944"/>
      <c r="D626" s="977"/>
      <c r="E626" s="1065"/>
      <c r="F626" s="936"/>
    </row>
    <row r="627" spans="1:6" ht="12.75">
      <c r="A627" s="907"/>
      <c r="B627" s="969" t="s">
        <v>2022</v>
      </c>
      <c r="C627" s="944"/>
      <c r="D627" s="977"/>
      <c r="E627" s="1065"/>
      <c r="F627" s="936"/>
    </row>
    <row r="628" spans="1:6" ht="204">
      <c r="A628" s="907"/>
      <c r="B628" s="969" t="s">
        <v>2023</v>
      </c>
      <c r="C628" s="944"/>
      <c r="D628" s="977"/>
      <c r="E628" s="1065"/>
      <c r="F628" s="936"/>
    </row>
    <row r="629" spans="1:6" ht="12.75">
      <c r="A629" s="907"/>
      <c r="B629" s="969" t="s">
        <v>2024</v>
      </c>
      <c r="C629" s="944"/>
      <c r="D629" s="977"/>
      <c r="E629" s="1065"/>
      <c r="F629" s="936"/>
    </row>
    <row r="630" spans="1:6" ht="102">
      <c r="A630" s="907"/>
      <c r="B630" s="969" t="s">
        <v>2025</v>
      </c>
      <c r="C630" s="944"/>
      <c r="D630" s="977"/>
      <c r="E630" s="1065"/>
      <c r="F630" s="936"/>
    </row>
    <row r="631" spans="1:6" ht="12.75">
      <c r="A631" s="907"/>
      <c r="B631" s="969" t="s">
        <v>2026</v>
      </c>
      <c r="C631" s="944"/>
      <c r="D631" s="977"/>
      <c r="E631" s="1065"/>
      <c r="F631" s="936"/>
    </row>
    <row r="632" spans="1:6" ht="12.75">
      <c r="A632" s="907"/>
      <c r="B632" s="969" t="s">
        <v>2027</v>
      </c>
      <c r="C632" s="944"/>
      <c r="D632" s="977"/>
      <c r="E632" s="1065"/>
      <c r="F632" s="936"/>
    </row>
    <row r="633" spans="1:6" ht="12.75">
      <c r="A633" s="907"/>
      <c r="B633" s="969" t="s">
        <v>2028</v>
      </c>
      <c r="C633" s="944"/>
      <c r="D633" s="977"/>
      <c r="E633" s="1065"/>
      <c r="F633" s="936"/>
    </row>
    <row r="634" spans="1:6" ht="12.75">
      <c r="A634" s="907"/>
      <c r="B634" s="969" t="s">
        <v>2029</v>
      </c>
      <c r="C634" s="944"/>
      <c r="D634" s="977"/>
      <c r="E634" s="1065"/>
      <c r="F634" s="936"/>
    </row>
    <row r="635" spans="1:6" ht="12.75">
      <c r="A635" s="907"/>
      <c r="B635" s="969" t="s">
        <v>2030</v>
      </c>
      <c r="C635" s="944"/>
      <c r="D635" s="977"/>
      <c r="E635" s="1065"/>
      <c r="F635" s="936"/>
    </row>
    <row r="636" spans="1:6" ht="12.75">
      <c r="A636" s="907"/>
      <c r="B636" s="969" t="s">
        <v>2031</v>
      </c>
      <c r="C636" s="944"/>
      <c r="D636" s="977"/>
      <c r="E636" s="1065"/>
      <c r="F636" s="936"/>
    </row>
    <row r="637" spans="1:6" ht="12.75">
      <c r="A637" s="907"/>
      <c r="B637" s="969" t="s">
        <v>2032</v>
      </c>
      <c r="C637" s="944"/>
      <c r="D637" s="977"/>
      <c r="E637" s="1065"/>
      <c r="F637" s="936"/>
    </row>
    <row r="638" spans="1:6" ht="12.75">
      <c r="A638" s="907"/>
      <c r="B638" s="969" t="s">
        <v>2033</v>
      </c>
      <c r="C638" s="944"/>
      <c r="D638" s="977"/>
      <c r="E638" s="1065"/>
      <c r="F638" s="936"/>
    </row>
    <row r="639" spans="1:6" ht="12.75">
      <c r="A639" s="907"/>
      <c r="B639" s="969" t="s">
        <v>2034</v>
      </c>
      <c r="C639" s="944"/>
      <c r="D639" s="977"/>
      <c r="E639" s="1065"/>
      <c r="F639" s="936"/>
    </row>
    <row r="640" spans="1:6" ht="12.75">
      <c r="A640" s="1106"/>
      <c r="B640" s="969" t="s">
        <v>2035</v>
      </c>
      <c r="C640" s="994" t="s">
        <v>748</v>
      </c>
      <c r="D640" s="995">
        <v>1</v>
      </c>
      <c r="E640" s="1008"/>
      <c r="F640" s="1070">
        <f>D640*E640</f>
        <v>0</v>
      </c>
    </row>
    <row r="641" spans="1:6" ht="12.75">
      <c r="A641" s="907"/>
      <c r="B641" s="1107"/>
      <c r="C641" s="944"/>
      <c r="D641" s="977"/>
      <c r="E641" s="1065"/>
      <c r="F641" s="936"/>
    </row>
    <row r="642" spans="1:6" ht="12.75">
      <c r="A642" s="1017">
        <f>MAX($A$63:A641)+1</f>
        <v>91</v>
      </c>
      <c r="B642" s="969" t="s">
        <v>2036</v>
      </c>
      <c r="C642" s="994"/>
      <c r="D642" s="995"/>
      <c r="E642" s="1065"/>
      <c r="F642" s="936"/>
    </row>
    <row r="643" spans="1:6" ht="12.75">
      <c r="A643" s="907"/>
      <c r="B643" s="969" t="s">
        <v>2037</v>
      </c>
      <c r="C643" s="994" t="s">
        <v>520</v>
      </c>
      <c r="D643" s="995">
        <v>2</v>
      </c>
      <c r="E643" s="1008"/>
      <c r="F643" s="1070">
        <f>D643*E643</f>
        <v>0</v>
      </c>
    </row>
    <row r="644" spans="1:6" ht="12.75">
      <c r="A644" s="907"/>
      <c r="B644" s="969"/>
      <c r="C644" s="994"/>
      <c r="D644" s="995"/>
      <c r="E644" s="1065"/>
      <c r="F644" s="936"/>
    </row>
    <row r="645" spans="1:6" ht="89.25">
      <c r="A645" s="1017">
        <f>MAX($A$63:A644)+1</f>
        <v>92</v>
      </c>
      <c r="B645" s="1108" t="s">
        <v>2038</v>
      </c>
      <c r="C645" s="1080"/>
      <c r="D645" s="1104"/>
      <c r="E645" s="1109"/>
      <c r="F645" s="936"/>
    </row>
    <row r="646" spans="1:6" ht="12.75">
      <c r="A646" s="907"/>
      <c r="B646" s="1108" t="s">
        <v>1853</v>
      </c>
      <c r="C646" s="1080"/>
      <c r="D646" s="1104"/>
      <c r="E646" s="1109"/>
      <c r="F646" s="936"/>
    </row>
    <row r="647" spans="1:6" ht="51">
      <c r="A647" s="907"/>
      <c r="B647" s="1108" t="s">
        <v>2039</v>
      </c>
      <c r="C647" s="994"/>
      <c r="D647" s="995"/>
      <c r="E647" s="1109"/>
      <c r="F647" s="936"/>
    </row>
    <row r="648" spans="1:6" ht="12.75">
      <c r="A648" s="1017"/>
      <c r="B648" s="968" t="s">
        <v>2040</v>
      </c>
      <c r="C648" s="1110"/>
      <c r="D648" s="1111"/>
      <c r="E648" s="1065"/>
      <c r="F648" s="936"/>
    </row>
    <row r="649" spans="1:6" ht="12.75">
      <c r="A649" s="907"/>
      <c r="B649" s="968" t="s">
        <v>2041</v>
      </c>
      <c r="C649" s="1110"/>
      <c r="D649" s="1111"/>
      <c r="E649" s="1065"/>
      <c r="F649" s="936"/>
    </row>
    <row r="650" spans="1:6" ht="12.75">
      <c r="A650" s="907"/>
      <c r="B650" s="968" t="s">
        <v>2042</v>
      </c>
      <c r="C650" s="1110"/>
      <c r="D650" s="1111"/>
      <c r="E650" s="1065"/>
      <c r="F650" s="936"/>
    </row>
    <row r="651" spans="1:6" ht="12.75">
      <c r="A651" s="907"/>
      <c r="B651" s="1108" t="s">
        <v>2043</v>
      </c>
      <c r="C651" s="1112" t="s">
        <v>650</v>
      </c>
      <c r="D651" s="1113">
        <v>830</v>
      </c>
      <c r="E651" s="1008"/>
      <c r="F651" s="1070">
        <f>+E651*D651</f>
        <v>0</v>
      </c>
    </row>
    <row r="652" spans="1:6" ht="12.75">
      <c r="A652" s="907"/>
      <c r="B652" s="1108" t="s">
        <v>2044</v>
      </c>
      <c r="C652" s="1112" t="s">
        <v>650</v>
      </c>
      <c r="D652" s="1113">
        <v>160</v>
      </c>
      <c r="E652" s="1008"/>
      <c r="F652" s="1070">
        <f>+E652*D652</f>
        <v>0</v>
      </c>
    </row>
    <row r="653" spans="1:6" ht="12.75">
      <c r="A653" s="907"/>
      <c r="B653" s="969"/>
      <c r="C653" s="994"/>
      <c r="D653" s="995"/>
      <c r="E653" s="1109"/>
      <c r="F653" s="936"/>
    </row>
    <row r="654" spans="1:6" ht="93.75" customHeight="1">
      <c r="A654" s="1017">
        <f>MAX($A$63:A653)+1</f>
        <v>93</v>
      </c>
      <c r="B654" s="969" t="s">
        <v>2045</v>
      </c>
      <c r="C654" s="994"/>
      <c r="D654" s="995"/>
      <c r="E654" s="1065"/>
      <c r="F654" s="936"/>
    </row>
    <row r="655" spans="1:6" ht="102">
      <c r="A655" s="907"/>
      <c r="B655" s="969" t="s">
        <v>2046</v>
      </c>
      <c r="C655" s="994"/>
      <c r="D655" s="995"/>
      <c r="E655" s="1065"/>
      <c r="F655" s="936"/>
    </row>
    <row r="656" spans="1:6" ht="12.75">
      <c r="A656" s="907"/>
      <c r="B656" s="969" t="s">
        <v>2047</v>
      </c>
      <c r="C656" s="994"/>
      <c r="D656" s="995"/>
      <c r="E656" s="1065"/>
      <c r="F656" s="936"/>
    </row>
    <row r="657" spans="1:6" ht="12.75">
      <c r="A657" s="907"/>
      <c r="B657" s="969" t="s">
        <v>2048</v>
      </c>
      <c r="C657" s="994" t="s">
        <v>650</v>
      </c>
      <c r="D657" s="995">
        <v>62</v>
      </c>
      <c r="E657" s="1008"/>
      <c r="F657" s="1070">
        <f aca="true" t="shared" si="1" ref="F657:F662">D657*E657</f>
        <v>0</v>
      </c>
    </row>
    <row r="658" spans="1:6" ht="12.75">
      <c r="A658" s="907"/>
      <c r="B658" s="969" t="s">
        <v>2049</v>
      </c>
      <c r="C658" s="994" t="s">
        <v>650</v>
      </c>
      <c r="D658" s="995">
        <v>42</v>
      </c>
      <c r="E658" s="1008"/>
      <c r="F658" s="1070">
        <f t="shared" si="1"/>
        <v>0</v>
      </c>
    </row>
    <row r="659" spans="1:6" ht="12.75">
      <c r="A659" s="907"/>
      <c r="B659" s="969" t="s">
        <v>2050</v>
      </c>
      <c r="C659" s="994" t="s">
        <v>650</v>
      </c>
      <c r="D659" s="995">
        <v>32</v>
      </c>
      <c r="E659" s="1008"/>
      <c r="F659" s="1070">
        <f t="shared" si="1"/>
        <v>0</v>
      </c>
    </row>
    <row r="660" spans="1:6" ht="12.75">
      <c r="A660" s="907"/>
      <c r="B660" s="969" t="s">
        <v>2051</v>
      </c>
      <c r="C660" s="994" t="s">
        <v>650</v>
      </c>
      <c r="D660" s="995">
        <v>32</v>
      </c>
      <c r="E660" s="1008"/>
      <c r="F660" s="1070">
        <f t="shared" si="1"/>
        <v>0</v>
      </c>
    </row>
    <row r="661" spans="1:6" ht="12.75">
      <c r="A661" s="907"/>
      <c r="B661" s="969" t="s">
        <v>2052</v>
      </c>
      <c r="C661" s="994" t="s">
        <v>650</v>
      </c>
      <c r="D661" s="995">
        <v>28</v>
      </c>
      <c r="E661" s="1008"/>
      <c r="F661" s="1070">
        <f t="shared" si="1"/>
        <v>0</v>
      </c>
    </row>
    <row r="662" spans="1:6" ht="12.75">
      <c r="A662" s="907"/>
      <c r="B662" s="969" t="s">
        <v>2053</v>
      </c>
      <c r="C662" s="994" t="s">
        <v>650</v>
      </c>
      <c r="D662" s="995">
        <v>42</v>
      </c>
      <c r="E662" s="1008"/>
      <c r="F662" s="1070">
        <f t="shared" si="1"/>
        <v>0</v>
      </c>
    </row>
    <row r="663" spans="1:6" ht="12.75">
      <c r="A663" s="907"/>
      <c r="B663" s="969"/>
      <c r="C663" s="994"/>
      <c r="D663" s="995"/>
      <c r="E663" s="1065"/>
      <c r="F663" s="936"/>
    </row>
    <row r="664" spans="1:6" ht="38.25">
      <c r="A664" s="1017">
        <f>MAX($A$63:A663)+1</f>
        <v>94</v>
      </c>
      <c r="B664" s="969" t="s">
        <v>2054</v>
      </c>
      <c r="C664" s="994"/>
      <c r="D664" s="995"/>
      <c r="E664" s="1065"/>
      <c r="F664" s="936"/>
    </row>
    <row r="665" spans="1:6" ht="15.75">
      <c r="A665" s="907"/>
      <c r="B665" s="969" t="s">
        <v>2282</v>
      </c>
      <c r="C665" s="994"/>
      <c r="D665" s="995"/>
      <c r="E665" s="1065"/>
      <c r="F665" s="936"/>
    </row>
    <row r="666" spans="1:6" ht="51">
      <c r="A666" s="907"/>
      <c r="B666" s="969" t="s">
        <v>2055</v>
      </c>
      <c r="C666" s="994"/>
      <c r="D666" s="995"/>
      <c r="E666" s="1065"/>
      <c r="F666" s="936"/>
    </row>
    <row r="667" spans="1:6" ht="12.75">
      <c r="A667" s="907"/>
      <c r="B667" s="969" t="s">
        <v>2056</v>
      </c>
      <c r="C667" s="994"/>
      <c r="D667" s="995"/>
      <c r="E667" s="1065"/>
      <c r="F667" s="936"/>
    </row>
    <row r="668" spans="1:6" ht="12.75">
      <c r="A668" s="907"/>
      <c r="B668" s="969" t="s">
        <v>2057</v>
      </c>
      <c r="C668" s="994"/>
      <c r="D668" s="995"/>
      <c r="E668" s="1065"/>
      <c r="F668" s="936"/>
    </row>
    <row r="669" spans="1:6" ht="12.75">
      <c r="A669" s="907"/>
      <c r="B669" s="969" t="s">
        <v>2048</v>
      </c>
      <c r="C669" s="994" t="s">
        <v>650</v>
      </c>
      <c r="D669" s="995">
        <v>16</v>
      </c>
      <c r="E669" s="1008"/>
      <c r="F669" s="1070">
        <f aca="true" t="shared" si="2" ref="F669:F674">D669*E669</f>
        <v>0</v>
      </c>
    </row>
    <row r="670" spans="1:6" ht="12.75">
      <c r="A670" s="907"/>
      <c r="B670" s="969" t="s">
        <v>2049</v>
      </c>
      <c r="C670" s="994" t="s">
        <v>650</v>
      </c>
      <c r="D670" s="995">
        <v>16</v>
      </c>
      <c r="E670" s="1008"/>
      <c r="F670" s="1070">
        <f t="shared" si="2"/>
        <v>0</v>
      </c>
    </row>
    <row r="671" spans="1:6" ht="12.75">
      <c r="A671" s="907"/>
      <c r="B671" s="969" t="s">
        <v>2050</v>
      </c>
      <c r="C671" s="994" t="s">
        <v>650</v>
      </c>
      <c r="D671" s="995">
        <v>12</v>
      </c>
      <c r="E671" s="1008"/>
      <c r="F671" s="1070">
        <f t="shared" si="2"/>
        <v>0</v>
      </c>
    </row>
    <row r="672" spans="1:6" ht="12.75">
      <c r="A672" s="907"/>
      <c r="B672" s="969" t="s">
        <v>2051</v>
      </c>
      <c r="C672" s="994" t="s">
        <v>650</v>
      </c>
      <c r="D672" s="995">
        <v>12</v>
      </c>
      <c r="E672" s="1008"/>
      <c r="F672" s="1070">
        <f t="shared" si="2"/>
        <v>0</v>
      </c>
    </row>
    <row r="673" spans="1:6" ht="12.75">
      <c r="A673" s="907"/>
      <c r="B673" s="969" t="s">
        <v>2052</v>
      </c>
      <c r="C673" s="994" t="s">
        <v>650</v>
      </c>
      <c r="D673" s="995">
        <v>18</v>
      </c>
      <c r="E673" s="1008"/>
      <c r="F673" s="1070">
        <f t="shared" si="2"/>
        <v>0</v>
      </c>
    </row>
    <row r="674" spans="1:6" ht="12.75">
      <c r="A674" s="907"/>
      <c r="B674" s="969" t="s">
        <v>2053</v>
      </c>
      <c r="C674" s="994" t="s">
        <v>650</v>
      </c>
      <c r="D674" s="995">
        <v>42</v>
      </c>
      <c r="E674" s="1008"/>
      <c r="F674" s="1070">
        <f t="shared" si="2"/>
        <v>0</v>
      </c>
    </row>
    <row r="675" spans="1:6" ht="12.75">
      <c r="A675" s="907"/>
      <c r="B675" s="969" t="s">
        <v>2058</v>
      </c>
      <c r="C675" s="994"/>
      <c r="D675" s="995"/>
      <c r="E675" s="1065"/>
      <c r="F675" s="936"/>
    </row>
    <row r="676" spans="1:6" ht="12.75">
      <c r="A676" s="907"/>
      <c r="B676" s="969" t="s">
        <v>2048</v>
      </c>
      <c r="C676" s="994" t="s">
        <v>650</v>
      </c>
      <c r="D676" s="995">
        <v>46</v>
      </c>
      <c r="E676" s="1008"/>
      <c r="F676" s="1070">
        <f>D676*E676</f>
        <v>0</v>
      </c>
    </row>
    <row r="677" spans="1:6" ht="12.75">
      <c r="A677" s="907"/>
      <c r="B677" s="969" t="s">
        <v>2059</v>
      </c>
      <c r="C677" s="994"/>
      <c r="D677" s="995"/>
      <c r="E677" s="1065"/>
      <c r="F677" s="936"/>
    </row>
    <row r="678" spans="1:6" ht="12.75">
      <c r="A678" s="907"/>
      <c r="B678" s="969" t="s">
        <v>2049</v>
      </c>
      <c r="C678" s="994" t="s">
        <v>650</v>
      </c>
      <c r="D678" s="995">
        <v>26</v>
      </c>
      <c r="E678" s="1008"/>
      <c r="F678" s="1070">
        <f>D678*E678</f>
        <v>0</v>
      </c>
    </row>
    <row r="679" spans="1:6" ht="12.75">
      <c r="A679" s="907"/>
      <c r="B679" s="969" t="s">
        <v>2050</v>
      </c>
      <c r="C679" s="994" t="s">
        <v>650</v>
      </c>
      <c r="D679" s="995">
        <v>20</v>
      </c>
      <c r="E679" s="1008"/>
      <c r="F679" s="1070">
        <f>D679*E679</f>
        <v>0</v>
      </c>
    </row>
    <row r="680" spans="1:6" ht="12.75">
      <c r="A680" s="907"/>
      <c r="B680" s="969" t="s">
        <v>2060</v>
      </c>
      <c r="C680" s="994"/>
      <c r="D680" s="995"/>
      <c r="E680" s="1065"/>
      <c r="F680" s="936"/>
    </row>
    <row r="681" spans="1:6" ht="12.75">
      <c r="A681" s="907"/>
      <c r="B681" s="969" t="s">
        <v>2051</v>
      </c>
      <c r="C681" s="994" t="s">
        <v>650</v>
      </c>
      <c r="D681" s="995">
        <v>20</v>
      </c>
      <c r="E681" s="1008"/>
      <c r="F681" s="1070">
        <f>D681*E681</f>
        <v>0</v>
      </c>
    </row>
    <row r="682" spans="1:6" ht="12.75">
      <c r="A682" s="907"/>
      <c r="B682" s="969" t="s">
        <v>2061</v>
      </c>
      <c r="C682" s="994"/>
      <c r="D682" s="995"/>
      <c r="E682" s="1065"/>
      <c r="F682" s="936"/>
    </row>
    <row r="683" spans="1:6" ht="12.75">
      <c r="A683" s="907"/>
      <c r="B683" s="969" t="s">
        <v>2052</v>
      </c>
      <c r="C683" s="994" t="s">
        <v>650</v>
      </c>
      <c r="D683" s="995">
        <v>10</v>
      </c>
      <c r="E683" s="1008"/>
      <c r="F683" s="1070">
        <f>D683*E683</f>
        <v>0</v>
      </c>
    </row>
    <row r="684" spans="1:6" ht="12.75">
      <c r="A684" s="907"/>
      <c r="B684" s="969"/>
      <c r="C684" s="1114"/>
      <c r="D684" s="1104"/>
      <c r="E684" s="1115"/>
      <c r="F684" s="1070"/>
    </row>
    <row r="685" spans="1:6" ht="51">
      <c r="A685" s="1017">
        <f>MAX($A$63:A681)+1</f>
        <v>95</v>
      </c>
      <c r="B685" s="1026" t="s">
        <v>2062</v>
      </c>
      <c r="C685" s="994"/>
      <c r="D685" s="995"/>
      <c r="E685" s="1065"/>
      <c r="F685" s="936"/>
    </row>
    <row r="686" spans="1:6" ht="12.75">
      <c r="A686" s="1017"/>
      <c r="B686" s="1026" t="s">
        <v>2063</v>
      </c>
      <c r="C686" s="994"/>
      <c r="D686" s="995"/>
      <c r="E686" s="1065"/>
      <c r="F686" s="936"/>
    </row>
    <row r="687" spans="1:6" ht="12.75">
      <c r="A687" s="1116"/>
      <c r="B687" s="1026" t="s">
        <v>2064</v>
      </c>
      <c r="C687" s="994" t="s">
        <v>520</v>
      </c>
      <c r="D687" s="995">
        <v>2</v>
      </c>
      <c r="E687" s="1008"/>
      <c r="F687" s="1070">
        <f>D687*E687</f>
        <v>0</v>
      </c>
    </row>
    <row r="688" spans="1:6" ht="12.75">
      <c r="A688" s="907"/>
      <c r="B688" s="969"/>
      <c r="C688" s="994"/>
      <c r="D688" s="995"/>
      <c r="E688" s="1065"/>
      <c r="F688" s="936"/>
    </row>
    <row r="689" spans="1:6" ht="76.5">
      <c r="A689" s="1017">
        <f>MAX($A$63:A688)+1</f>
        <v>96</v>
      </c>
      <c r="B689" s="969" t="s">
        <v>2065</v>
      </c>
      <c r="C689" s="994"/>
      <c r="D689" s="995"/>
      <c r="E689" s="1065"/>
      <c r="F689" s="936"/>
    </row>
    <row r="690" spans="1:6" ht="12.75">
      <c r="A690" s="907"/>
      <c r="B690" s="969" t="s">
        <v>2066</v>
      </c>
      <c r="C690" s="994" t="s">
        <v>748</v>
      </c>
      <c r="D690" s="995">
        <v>23</v>
      </c>
      <c r="E690" s="1008"/>
      <c r="F690" s="1070">
        <f>D690*E690</f>
        <v>0</v>
      </c>
    </row>
    <row r="691" spans="1:6" ht="12.75">
      <c r="A691" s="907"/>
      <c r="B691" s="969"/>
      <c r="C691" s="994"/>
      <c r="D691" s="995"/>
      <c r="E691" s="1065"/>
      <c r="F691" s="936"/>
    </row>
    <row r="692" spans="1:6" ht="102">
      <c r="A692" s="1017">
        <f>MAX($A$63:A691)+1</f>
        <v>97</v>
      </c>
      <c r="B692" s="983" t="s">
        <v>2067</v>
      </c>
      <c r="C692" s="980"/>
      <c r="D692" s="981"/>
      <c r="E692" s="1005"/>
      <c r="F692" s="951"/>
    </row>
    <row r="693" spans="1:6" ht="12.75">
      <c r="A693" s="907"/>
      <c r="B693" s="983" t="s">
        <v>2068</v>
      </c>
      <c r="C693" s="980"/>
      <c r="D693" s="981"/>
      <c r="E693" s="1005"/>
      <c r="F693" s="951"/>
    </row>
    <row r="694" spans="1:6" ht="12.75">
      <c r="A694" s="907"/>
      <c r="B694" s="983" t="s">
        <v>2283</v>
      </c>
      <c r="C694" s="980"/>
      <c r="D694" s="981"/>
      <c r="E694" s="1005"/>
      <c r="F694" s="951"/>
    </row>
    <row r="695" spans="1:6" ht="12.75">
      <c r="A695" s="907"/>
      <c r="B695" s="983" t="s">
        <v>2069</v>
      </c>
      <c r="C695" s="980"/>
      <c r="D695" s="981"/>
      <c r="E695" s="1005"/>
      <c r="F695" s="951"/>
    </row>
    <row r="696" spans="1:6" ht="12.75">
      <c r="A696" s="907"/>
      <c r="B696" s="983" t="s">
        <v>2070</v>
      </c>
      <c r="C696" s="980"/>
      <c r="D696" s="981"/>
      <c r="E696" s="1005"/>
      <c r="F696" s="951"/>
    </row>
    <row r="697" spans="1:6" ht="12.75">
      <c r="A697" s="907"/>
      <c r="B697" s="983" t="s">
        <v>2071</v>
      </c>
      <c r="C697" s="980"/>
      <c r="D697" s="981"/>
      <c r="E697" s="1005"/>
      <c r="F697" s="951"/>
    </row>
    <row r="698" spans="1:6" ht="12.75">
      <c r="A698" s="907"/>
      <c r="B698" s="983" t="s">
        <v>2072</v>
      </c>
      <c r="C698" s="980" t="s">
        <v>748</v>
      </c>
      <c r="D698" s="981">
        <v>1</v>
      </c>
      <c r="E698" s="1008"/>
      <c r="F698" s="1070">
        <f>D698*E698</f>
        <v>0</v>
      </c>
    </row>
    <row r="699" spans="1:6" ht="12.75">
      <c r="A699" s="907"/>
      <c r="B699" s="983"/>
      <c r="C699" s="980"/>
      <c r="D699" s="981"/>
      <c r="E699" s="1005"/>
      <c r="F699" s="951"/>
    </row>
    <row r="700" spans="1:6" ht="25.5">
      <c r="A700" s="1017">
        <f>MAX($A$63:A699)+1</f>
        <v>98</v>
      </c>
      <c r="B700" s="983" t="s">
        <v>2073</v>
      </c>
      <c r="C700" s="980"/>
      <c r="D700" s="981"/>
      <c r="E700" s="1005"/>
      <c r="F700" s="951"/>
    </row>
    <row r="701" spans="1:6" ht="12.75">
      <c r="A701" s="907"/>
      <c r="B701" s="983" t="s">
        <v>2284</v>
      </c>
      <c r="C701" s="980" t="s">
        <v>650</v>
      </c>
      <c r="D701" s="981">
        <v>18</v>
      </c>
      <c r="E701" s="1008"/>
      <c r="F701" s="1070">
        <f>D701*E701</f>
        <v>0</v>
      </c>
    </row>
    <row r="702" spans="1:6" ht="12.75">
      <c r="A702" s="907"/>
      <c r="B702" s="983"/>
      <c r="C702" s="980"/>
      <c r="D702" s="981"/>
      <c r="E702" s="1005"/>
      <c r="F702" s="951"/>
    </row>
    <row r="703" spans="1:6" ht="51">
      <c r="A703" s="1017">
        <f>MAX($A$63:A691)+1</f>
        <v>97</v>
      </c>
      <c r="B703" s="969" t="s">
        <v>2074</v>
      </c>
      <c r="C703" s="994"/>
      <c r="D703" s="995"/>
      <c r="E703" s="1065"/>
      <c r="F703" s="936"/>
    </row>
    <row r="704" spans="1:6" ht="12.75">
      <c r="A704" s="907"/>
      <c r="B704" s="969" t="s">
        <v>2075</v>
      </c>
      <c r="C704" s="994" t="s">
        <v>650</v>
      </c>
      <c r="D704" s="995">
        <v>45</v>
      </c>
      <c r="E704" s="1008"/>
      <c r="F704" s="1070">
        <f>D704*E704</f>
        <v>0</v>
      </c>
    </row>
    <row r="705" spans="1:6" ht="12.75">
      <c r="A705" s="907"/>
      <c r="B705" s="969" t="s">
        <v>2076</v>
      </c>
      <c r="C705" s="994" t="s">
        <v>650</v>
      </c>
      <c r="D705" s="995">
        <v>36</v>
      </c>
      <c r="E705" s="1008"/>
      <c r="F705" s="1070">
        <f>D705*E705</f>
        <v>0</v>
      </c>
    </row>
    <row r="706" spans="1:6" ht="12.75">
      <c r="A706" s="907"/>
      <c r="B706" s="969" t="s">
        <v>2077</v>
      </c>
      <c r="C706" s="994" t="s">
        <v>650</v>
      </c>
      <c r="D706" s="995">
        <v>32</v>
      </c>
      <c r="E706" s="1008"/>
      <c r="F706" s="1070">
        <f>D706*E706</f>
        <v>0</v>
      </c>
    </row>
    <row r="707" spans="1:6" ht="12.75">
      <c r="A707" s="907"/>
      <c r="B707" s="969" t="s">
        <v>2078</v>
      </c>
      <c r="C707" s="994" t="s">
        <v>650</v>
      </c>
      <c r="D707" s="995">
        <v>12</v>
      </c>
      <c r="E707" s="1008"/>
      <c r="F707" s="1070">
        <f>D707*E707</f>
        <v>0</v>
      </c>
    </row>
    <row r="708" spans="1:6" ht="12.75">
      <c r="A708" s="907"/>
      <c r="B708" s="969"/>
      <c r="C708" s="994"/>
      <c r="D708" s="995"/>
      <c r="E708" s="1065"/>
      <c r="F708" s="936"/>
    </row>
    <row r="709" spans="1:6" ht="25.5">
      <c r="A709" s="1017">
        <f>MAX($A$63:A705)+1</f>
        <v>99</v>
      </c>
      <c r="B709" s="1026" t="s">
        <v>2079</v>
      </c>
      <c r="C709" s="1117"/>
      <c r="D709" s="1118"/>
      <c r="E709" s="1119"/>
      <c r="F709" s="1120"/>
    </row>
    <row r="710" spans="1:6" ht="12.75">
      <c r="A710" s="1017"/>
      <c r="B710" s="1026" t="s">
        <v>2080</v>
      </c>
      <c r="C710" s="1117"/>
      <c r="D710" s="1118"/>
      <c r="E710" s="1119"/>
      <c r="F710" s="1120"/>
    </row>
    <row r="711" spans="1:6" ht="12.75">
      <c r="A711" s="1116"/>
      <c r="B711" s="1026" t="s">
        <v>2081</v>
      </c>
      <c r="C711" s="1117" t="s">
        <v>650</v>
      </c>
      <c r="D711" s="1118">
        <v>8</v>
      </c>
      <c r="E711" s="1008"/>
      <c r="F711" s="1070">
        <f>D711*E711</f>
        <v>0</v>
      </c>
    </row>
    <row r="712" spans="1:6" ht="12.75">
      <c r="A712" s="907"/>
      <c r="B712" s="969" t="s">
        <v>2082</v>
      </c>
      <c r="C712" s="994" t="s">
        <v>650</v>
      </c>
      <c r="D712" s="995">
        <v>368</v>
      </c>
      <c r="E712" s="1008"/>
      <c r="F712" s="1070">
        <f>D712*E712</f>
        <v>0</v>
      </c>
    </row>
    <row r="713" spans="1:6" ht="12.75">
      <c r="A713" s="907"/>
      <c r="B713" s="969" t="s">
        <v>2083</v>
      </c>
      <c r="C713" s="994" t="s">
        <v>650</v>
      </c>
      <c r="D713" s="995">
        <v>6</v>
      </c>
      <c r="E713" s="1008"/>
      <c r="F713" s="1070">
        <f>D713*E713</f>
        <v>0</v>
      </c>
    </row>
    <row r="714" spans="1:6" ht="12.75">
      <c r="A714" s="907"/>
      <c r="B714" s="1108"/>
      <c r="C714" s="1080"/>
      <c r="D714" s="1104"/>
      <c r="E714" s="1079"/>
      <c r="F714" s="936"/>
    </row>
    <row r="715" spans="1:6" ht="25.5">
      <c r="A715" s="1017">
        <f>MAX($A$63:A714)+1</f>
        <v>100</v>
      </c>
      <c r="B715" s="969" t="s">
        <v>2084</v>
      </c>
      <c r="C715" s="994"/>
      <c r="D715" s="995"/>
      <c r="E715" s="1065"/>
      <c r="F715" s="936"/>
    </row>
    <row r="716" spans="1:6" ht="12.75">
      <c r="A716" s="907"/>
      <c r="B716" s="969" t="s">
        <v>2085</v>
      </c>
      <c r="C716" s="994" t="s">
        <v>520</v>
      </c>
      <c r="D716" s="995">
        <v>2</v>
      </c>
      <c r="E716" s="1008"/>
      <c r="F716" s="1070">
        <f>D716*E716</f>
        <v>0</v>
      </c>
    </row>
    <row r="717" spans="1:6" ht="12.75">
      <c r="A717" s="907"/>
      <c r="B717" s="969"/>
      <c r="C717" s="994"/>
      <c r="D717" s="995"/>
      <c r="E717" s="1065"/>
      <c r="F717" s="936"/>
    </row>
    <row r="718" spans="1:6" ht="25.5">
      <c r="A718" s="1017">
        <f>MAX($A$63:A717)+1</f>
        <v>101</v>
      </c>
      <c r="B718" s="969" t="s">
        <v>2086</v>
      </c>
      <c r="C718" s="994" t="s">
        <v>1313</v>
      </c>
      <c r="D718" s="995">
        <v>35</v>
      </c>
      <c r="E718" s="1008"/>
      <c r="F718" s="1070">
        <f>D718*E718</f>
        <v>0</v>
      </c>
    </row>
    <row r="719" spans="1:6" ht="12.75">
      <c r="A719" s="907"/>
      <c r="B719" s="969"/>
      <c r="C719" s="994"/>
      <c r="D719" s="995"/>
      <c r="E719" s="1065"/>
      <c r="F719" s="936"/>
    </row>
    <row r="720" spans="1:6" ht="12.75">
      <c r="A720" s="907"/>
      <c r="B720" s="1121" t="s">
        <v>2087</v>
      </c>
      <c r="C720" s="994"/>
      <c r="D720" s="995"/>
      <c r="E720" s="1065"/>
      <c r="F720" s="936"/>
    </row>
    <row r="721" spans="1:6" ht="12.75">
      <c r="A721" s="907"/>
      <c r="B721" s="1122"/>
      <c r="C721" s="994"/>
      <c r="D721" s="995"/>
      <c r="E721" s="1065"/>
      <c r="F721" s="936"/>
    </row>
    <row r="722" spans="1:6" ht="76.5">
      <c r="A722" s="1017">
        <f>MAX($A$63:A721)+1</f>
        <v>102</v>
      </c>
      <c r="B722" s="1108" t="s">
        <v>2088</v>
      </c>
      <c r="C722" s="1080"/>
      <c r="D722" s="1104"/>
      <c r="E722" s="1109"/>
      <c r="F722" s="936"/>
    </row>
    <row r="723" spans="1:6" ht="12.75">
      <c r="A723" s="907"/>
      <c r="B723" s="1108" t="s">
        <v>2089</v>
      </c>
      <c r="C723" s="1080"/>
      <c r="D723" s="1104"/>
      <c r="E723" s="1109"/>
      <c r="F723" s="936"/>
    </row>
    <row r="724" spans="1:6" ht="15.75">
      <c r="A724" s="907"/>
      <c r="B724" s="1108" t="s">
        <v>2285</v>
      </c>
      <c r="C724" s="1080"/>
      <c r="D724" s="1104"/>
      <c r="E724" s="1109"/>
      <c r="F724" s="936"/>
    </row>
    <row r="725" spans="1:6" ht="15.75">
      <c r="A725" s="907"/>
      <c r="B725" s="1108" t="s">
        <v>2286</v>
      </c>
      <c r="C725" s="1080"/>
      <c r="D725" s="1104"/>
      <c r="E725" s="1109"/>
      <c r="F725" s="936"/>
    </row>
    <row r="726" spans="1:6" ht="12.75">
      <c r="A726" s="907"/>
      <c r="B726" s="1108" t="s">
        <v>2090</v>
      </c>
      <c r="C726" s="1080"/>
      <c r="D726" s="1104"/>
      <c r="E726" s="1109"/>
      <c r="F726" s="936"/>
    </row>
    <row r="727" spans="1:6" ht="12.75">
      <c r="A727" s="907"/>
      <c r="B727" s="1108" t="s">
        <v>2091</v>
      </c>
      <c r="C727" s="1080"/>
      <c r="D727" s="1104"/>
      <c r="E727" s="1109"/>
      <c r="F727" s="936"/>
    </row>
    <row r="728" spans="1:6" ht="12.75">
      <c r="A728" s="907"/>
      <c r="B728" s="1108" t="s">
        <v>2092</v>
      </c>
      <c r="C728" s="1080"/>
      <c r="D728" s="1104"/>
      <c r="E728" s="1109"/>
      <c r="F728" s="936"/>
    </row>
    <row r="729" spans="1:6" ht="25.5">
      <c r="A729" s="907"/>
      <c r="B729" s="1108" t="s">
        <v>2093</v>
      </c>
      <c r="C729" s="1080"/>
      <c r="D729" s="1104"/>
      <c r="E729" s="1109"/>
      <c r="F729" s="936"/>
    </row>
    <row r="730" spans="1:6" ht="25.5">
      <c r="A730" s="907"/>
      <c r="B730" s="1108" t="s">
        <v>2094</v>
      </c>
      <c r="C730" s="994"/>
      <c r="D730" s="995"/>
      <c r="E730" s="1109"/>
      <c r="F730" s="936"/>
    </row>
    <row r="731" spans="1:6" ht="12.75">
      <c r="A731" s="907"/>
      <c r="B731" s="1108" t="s">
        <v>2095</v>
      </c>
      <c r="C731" s="994"/>
      <c r="D731" s="995"/>
      <c r="E731" s="1109"/>
      <c r="F731" s="936"/>
    </row>
    <row r="732" spans="1:6" ht="12.75">
      <c r="A732" s="907"/>
      <c r="B732" s="1108" t="s">
        <v>2096</v>
      </c>
      <c r="C732" s="994"/>
      <c r="D732" s="995"/>
      <c r="E732" s="1109"/>
      <c r="F732" s="936"/>
    </row>
    <row r="733" spans="1:6" ht="12.75">
      <c r="A733" s="907"/>
      <c r="B733" s="1108" t="s">
        <v>2097</v>
      </c>
      <c r="C733" s="994"/>
      <c r="D733" s="995"/>
      <c r="E733" s="1109"/>
      <c r="F733" s="936"/>
    </row>
    <row r="734" spans="1:6" ht="12.75">
      <c r="A734" s="907"/>
      <c r="B734" s="1108" t="s">
        <v>2098</v>
      </c>
      <c r="C734" s="994" t="s">
        <v>1697</v>
      </c>
      <c r="D734" s="995">
        <v>1</v>
      </c>
      <c r="E734" s="1008"/>
      <c r="F734" s="1070">
        <f>+E734*D734</f>
        <v>0</v>
      </c>
    </row>
    <row r="735" spans="1:6" ht="12.75">
      <c r="A735" s="907"/>
      <c r="B735" s="969"/>
      <c r="C735" s="994"/>
      <c r="D735" s="995"/>
      <c r="E735" s="1109"/>
      <c r="F735" s="936"/>
    </row>
    <row r="736" spans="1:6" ht="38.25">
      <c r="A736" s="1017">
        <f>MAX($A$63:A721)+1</f>
        <v>102</v>
      </c>
      <c r="B736" s="969" t="s">
        <v>2099</v>
      </c>
      <c r="C736" s="994"/>
      <c r="D736" s="995"/>
      <c r="E736" s="1065"/>
      <c r="F736" s="936"/>
    </row>
    <row r="737" spans="1:6" ht="12.75">
      <c r="A737" s="907"/>
      <c r="B737" s="969" t="s">
        <v>2100</v>
      </c>
      <c r="C737" s="994"/>
      <c r="D737" s="995"/>
      <c r="E737" s="1065"/>
      <c r="F737" s="936"/>
    </row>
    <row r="738" spans="1:6" ht="12.75">
      <c r="A738" s="907"/>
      <c r="B738" s="969" t="s">
        <v>2101</v>
      </c>
      <c r="C738" s="994" t="s">
        <v>748</v>
      </c>
      <c r="D738" s="995">
        <v>1</v>
      </c>
      <c r="E738" s="1008"/>
      <c r="F738" s="1070">
        <f>D738*E738</f>
        <v>0</v>
      </c>
    </row>
    <row r="739" spans="1:6" ht="12.75">
      <c r="A739" s="907"/>
      <c r="B739" s="969"/>
      <c r="C739" s="994"/>
      <c r="D739" s="995"/>
      <c r="E739" s="1065"/>
      <c r="F739" s="936"/>
    </row>
    <row r="740" spans="1:6" ht="51">
      <c r="A740" s="1017">
        <f>MAX($A$63:A739)+1</f>
        <v>103</v>
      </c>
      <c r="B740" s="1026" t="s">
        <v>2102</v>
      </c>
      <c r="C740" s="994"/>
      <c r="D740" s="995"/>
      <c r="E740" s="1065"/>
      <c r="F740" s="936"/>
    </row>
    <row r="741" spans="1:6" ht="12.75">
      <c r="A741" s="907"/>
      <c r="B741" s="969" t="s">
        <v>2103</v>
      </c>
      <c r="C741" s="994"/>
      <c r="D741" s="995"/>
      <c r="E741" s="1065"/>
      <c r="F741" s="936"/>
    </row>
    <row r="742" spans="1:6" ht="12.75">
      <c r="A742" s="907"/>
      <c r="B742" s="969" t="s">
        <v>2104</v>
      </c>
      <c r="C742" s="994"/>
      <c r="D742" s="995"/>
      <c r="E742" s="1065"/>
      <c r="F742" s="936"/>
    </row>
    <row r="743" spans="1:6" ht="15.75">
      <c r="A743" s="907"/>
      <c r="B743" s="969" t="s">
        <v>2287</v>
      </c>
      <c r="C743" s="994" t="s">
        <v>1697</v>
      </c>
      <c r="D743" s="995">
        <v>1</v>
      </c>
      <c r="E743" s="1008"/>
      <c r="F743" s="1070">
        <f>D743*E743</f>
        <v>0</v>
      </c>
    </row>
    <row r="744" spans="1:6" ht="12.75">
      <c r="A744" s="907"/>
      <c r="B744" s="969"/>
      <c r="C744" s="994"/>
      <c r="D744" s="995"/>
      <c r="E744" s="1065"/>
      <c r="F744" s="936"/>
    </row>
    <row r="745" spans="1:6" ht="90.75">
      <c r="A745" s="1017">
        <f>MAX($A$63:A739)+1</f>
        <v>103</v>
      </c>
      <c r="B745" s="969" t="s">
        <v>2288</v>
      </c>
      <c r="C745" s="994"/>
      <c r="D745" s="995"/>
      <c r="E745" s="1065"/>
      <c r="F745" s="936"/>
    </row>
    <row r="746" spans="1:6" ht="12.75">
      <c r="A746" s="907"/>
      <c r="B746" s="969" t="s">
        <v>2105</v>
      </c>
      <c r="C746" s="994"/>
      <c r="D746" s="995"/>
      <c r="E746" s="1065"/>
      <c r="F746" s="936"/>
    </row>
    <row r="747" spans="1:6" ht="14.25">
      <c r="A747" s="907"/>
      <c r="B747" s="969" t="s">
        <v>2289</v>
      </c>
      <c r="C747" s="994"/>
      <c r="D747" s="995"/>
      <c r="E747" s="1065"/>
      <c r="F747" s="936"/>
    </row>
    <row r="748" spans="1:6" ht="12.75">
      <c r="A748" s="907"/>
      <c r="B748" s="969" t="s">
        <v>2106</v>
      </c>
      <c r="C748" s="994"/>
      <c r="D748" s="995"/>
      <c r="E748" s="1065"/>
      <c r="F748" s="936"/>
    </row>
    <row r="749" spans="1:6" ht="12.75">
      <c r="A749" s="907"/>
      <c r="B749" s="969" t="s">
        <v>1733</v>
      </c>
      <c r="C749" s="994" t="s">
        <v>748</v>
      </c>
      <c r="D749" s="995">
        <v>1</v>
      </c>
      <c r="E749" s="1008"/>
      <c r="F749" s="1070">
        <f>D749*E749</f>
        <v>0</v>
      </c>
    </row>
    <row r="750" spans="1:6" ht="12.75">
      <c r="A750" s="907"/>
      <c r="B750" s="969"/>
      <c r="C750" s="994"/>
      <c r="D750" s="995"/>
      <c r="E750" s="1065"/>
      <c r="F750" s="936"/>
    </row>
    <row r="751" spans="1:6" ht="89.25">
      <c r="A751" s="1017">
        <f>MAX($A$71:A749)+1</f>
        <v>104</v>
      </c>
      <c r="B751" s="969" t="s">
        <v>2107</v>
      </c>
      <c r="C751" s="994"/>
      <c r="D751" s="995"/>
      <c r="E751" s="1065"/>
      <c r="F751" s="936"/>
    </row>
    <row r="752" spans="1:6" ht="12.75">
      <c r="A752" s="907"/>
      <c r="B752" s="969" t="s">
        <v>2108</v>
      </c>
      <c r="C752" s="994"/>
      <c r="D752" s="995"/>
      <c r="E752" s="1065"/>
      <c r="F752" s="936"/>
    </row>
    <row r="753" spans="1:6" ht="12.75">
      <c r="A753" s="907"/>
      <c r="B753" s="969" t="s">
        <v>2109</v>
      </c>
      <c r="C753" s="994" t="s">
        <v>520</v>
      </c>
      <c r="D753" s="995">
        <v>1</v>
      </c>
      <c r="E753" s="1008"/>
      <c r="F753" s="1070">
        <f>+E753*D753</f>
        <v>0</v>
      </c>
    </row>
    <row r="754" spans="1:6" ht="12.75">
      <c r="A754" s="907"/>
      <c r="B754" s="969"/>
      <c r="C754" s="994"/>
      <c r="D754" s="995"/>
      <c r="E754" s="1065"/>
      <c r="F754" s="936"/>
    </row>
    <row r="755" spans="1:6" ht="38.25">
      <c r="A755" s="1017">
        <f>MAX($A$183:A754)+1</f>
        <v>105</v>
      </c>
      <c r="B755" s="1123" t="s">
        <v>2110</v>
      </c>
      <c r="C755" s="994"/>
      <c r="D755" s="995"/>
      <c r="E755" s="1109"/>
      <c r="F755" s="936"/>
    </row>
    <row r="756" spans="1:6" ht="25.5">
      <c r="A756" s="907"/>
      <c r="B756" s="1123" t="s">
        <v>2111</v>
      </c>
      <c r="C756" s="994"/>
      <c r="D756" s="995"/>
      <c r="E756" s="1109"/>
      <c r="F756" s="936"/>
    </row>
    <row r="757" spans="1:6" ht="12.75">
      <c r="A757" s="907"/>
      <c r="B757" s="1123" t="s">
        <v>2112</v>
      </c>
      <c r="C757" s="994"/>
      <c r="D757" s="995"/>
      <c r="E757" s="1109"/>
      <c r="F757" s="936"/>
    </row>
    <row r="758" spans="1:6" ht="14.25">
      <c r="A758" s="907"/>
      <c r="B758" s="1123" t="s">
        <v>2290</v>
      </c>
      <c r="C758" s="994" t="s">
        <v>520</v>
      </c>
      <c r="D758" s="995">
        <v>1</v>
      </c>
      <c r="E758" s="1008"/>
      <c r="F758" s="1070">
        <f>+E758*D758</f>
        <v>0</v>
      </c>
    </row>
    <row r="759" spans="1:6" ht="12.75">
      <c r="A759" s="907"/>
      <c r="B759" s="1026"/>
      <c r="C759" s="994"/>
      <c r="D759" s="995"/>
      <c r="E759" s="1109"/>
      <c r="F759" s="936"/>
    </row>
    <row r="760" spans="1:6" ht="89.25">
      <c r="A760" s="1017">
        <f>MAX($A$183:A759)+1</f>
        <v>106</v>
      </c>
      <c r="B760" s="969" t="s">
        <v>2113</v>
      </c>
      <c r="C760" s="994"/>
      <c r="D760" s="995"/>
      <c r="E760" s="1065"/>
      <c r="F760" s="936"/>
    </row>
    <row r="761" spans="1:6" ht="12.75">
      <c r="A761" s="907"/>
      <c r="B761" s="969" t="s">
        <v>2114</v>
      </c>
      <c r="C761" s="994"/>
      <c r="D761" s="995"/>
      <c r="E761" s="1065"/>
      <c r="F761" s="936"/>
    </row>
    <row r="762" spans="1:6" ht="12.75">
      <c r="A762" s="907"/>
      <c r="B762" s="969" t="s">
        <v>2115</v>
      </c>
      <c r="C762" s="994" t="s">
        <v>520</v>
      </c>
      <c r="D762" s="995">
        <v>1</v>
      </c>
      <c r="E762" s="1008"/>
      <c r="F762" s="1070">
        <f>D762*E762</f>
        <v>0</v>
      </c>
    </row>
    <row r="763" spans="1:6" ht="12.75">
      <c r="A763" s="907"/>
      <c r="B763" s="969"/>
      <c r="C763" s="994"/>
      <c r="D763" s="995"/>
      <c r="E763" s="1065"/>
      <c r="F763" s="936"/>
    </row>
    <row r="764" spans="1:6" ht="25.5">
      <c r="A764" s="1017">
        <f>MAX($A$63:A763)+1</f>
        <v>107</v>
      </c>
      <c r="B764" s="969" t="s">
        <v>2116</v>
      </c>
      <c r="C764" s="994"/>
      <c r="D764" s="995"/>
      <c r="E764" s="1065"/>
      <c r="F764" s="936"/>
    </row>
    <row r="765" spans="1:6" ht="12.75">
      <c r="A765" s="907"/>
      <c r="B765" s="969" t="s">
        <v>1743</v>
      </c>
      <c r="C765" s="994"/>
      <c r="D765" s="995"/>
      <c r="E765" s="1065"/>
      <c r="F765" s="936"/>
    </row>
    <row r="766" spans="1:6" ht="15.75">
      <c r="A766" s="907"/>
      <c r="B766" s="969" t="s">
        <v>2291</v>
      </c>
      <c r="C766" s="994" t="s">
        <v>520</v>
      </c>
      <c r="D766" s="995">
        <v>1</v>
      </c>
      <c r="E766" s="1008"/>
      <c r="F766" s="1070">
        <f>D766*E766</f>
        <v>0</v>
      </c>
    </row>
    <row r="767" spans="1:6" ht="12.75">
      <c r="A767" s="907"/>
      <c r="B767" s="969"/>
      <c r="C767" s="994"/>
      <c r="D767" s="995"/>
      <c r="E767" s="1065"/>
      <c r="F767" s="936"/>
    </row>
    <row r="768" spans="1:6" ht="25.5">
      <c r="A768" s="1017">
        <f>MAX($A$63:A767)+1</f>
        <v>108</v>
      </c>
      <c r="B768" s="969" t="s">
        <v>2117</v>
      </c>
      <c r="C768" s="994"/>
      <c r="D768" s="995"/>
      <c r="E768" s="1065"/>
      <c r="F768" s="936"/>
    </row>
    <row r="769" spans="1:6" ht="12.75">
      <c r="A769" s="1017"/>
      <c r="B769" s="969" t="s">
        <v>2118</v>
      </c>
      <c r="C769" s="994"/>
      <c r="D769" s="995"/>
      <c r="E769" s="1065"/>
      <c r="F769" s="936"/>
    </row>
    <row r="770" spans="1:6" ht="12.75">
      <c r="A770" s="907"/>
      <c r="B770" s="969" t="s">
        <v>2115</v>
      </c>
      <c r="C770" s="994" t="s">
        <v>520</v>
      </c>
      <c r="D770" s="995">
        <v>1</v>
      </c>
      <c r="E770" s="1008"/>
      <c r="F770" s="1070">
        <f>D770*E770</f>
        <v>0</v>
      </c>
    </row>
    <row r="771" spans="1:6" ht="12.75">
      <c r="A771" s="907"/>
      <c r="B771" s="969" t="s">
        <v>2119</v>
      </c>
      <c r="C771" s="994" t="s">
        <v>520</v>
      </c>
      <c r="D771" s="995">
        <v>9</v>
      </c>
      <c r="E771" s="1008"/>
      <c r="F771" s="1070">
        <f>D771*E771</f>
        <v>0</v>
      </c>
    </row>
    <row r="772" spans="1:6" ht="12.75">
      <c r="A772" s="907"/>
      <c r="B772" s="969"/>
      <c r="C772" s="994"/>
      <c r="D772" s="995"/>
      <c r="E772" s="1065"/>
      <c r="F772" s="936"/>
    </row>
    <row r="773" spans="1:6" ht="38.25">
      <c r="A773" s="1017">
        <f>MAX($A$63:A772)+1</f>
        <v>109</v>
      </c>
      <c r="B773" s="969" t="s">
        <v>2120</v>
      </c>
      <c r="C773" s="994"/>
      <c r="D773" s="995"/>
      <c r="E773" s="1065"/>
      <c r="F773" s="936"/>
    </row>
    <row r="774" spans="1:6" ht="12.75">
      <c r="A774" s="1017"/>
      <c r="B774" s="969" t="s">
        <v>2121</v>
      </c>
      <c r="C774" s="994"/>
      <c r="D774" s="995"/>
      <c r="E774" s="1065"/>
      <c r="F774" s="936"/>
    </row>
    <row r="775" spans="1:6" ht="12.75">
      <c r="A775" s="907"/>
      <c r="B775" s="969" t="s">
        <v>1989</v>
      </c>
      <c r="C775" s="994" t="s">
        <v>520</v>
      </c>
      <c r="D775" s="995">
        <v>4</v>
      </c>
      <c r="E775" s="1008"/>
      <c r="F775" s="1070">
        <f>D775*E775</f>
        <v>0</v>
      </c>
    </row>
    <row r="776" spans="1:6" ht="12.75">
      <c r="A776" s="907"/>
      <c r="B776" s="969" t="s">
        <v>1743</v>
      </c>
      <c r="C776" s="994" t="s">
        <v>520</v>
      </c>
      <c r="D776" s="995">
        <v>2</v>
      </c>
      <c r="E776" s="1008"/>
      <c r="F776" s="1070">
        <f>D776*E776</f>
        <v>0</v>
      </c>
    </row>
    <row r="777" spans="1:6" ht="12.75">
      <c r="A777" s="907"/>
      <c r="B777" s="969"/>
      <c r="C777" s="994"/>
      <c r="D777" s="995"/>
      <c r="E777" s="1065"/>
      <c r="F777" s="936"/>
    </row>
    <row r="778" spans="1:6" ht="25.5">
      <c r="A778" s="1017">
        <f>MAX($A$63:A777)+1</f>
        <v>110</v>
      </c>
      <c r="B778" s="969" t="s">
        <v>2122</v>
      </c>
      <c r="C778" s="994"/>
      <c r="D778" s="995"/>
      <c r="E778" s="1065"/>
      <c r="F778" s="936"/>
    </row>
    <row r="779" spans="1:6" ht="12.75">
      <c r="A779" s="1017"/>
      <c r="B779" s="969" t="s">
        <v>2123</v>
      </c>
      <c r="C779" s="994"/>
      <c r="D779" s="995"/>
      <c r="E779" s="1065"/>
      <c r="F779" s="936"/>
    </row>
    <row r="780" spans="1:6" ht="12.75">
      <c r="A780" s="907"/>
      <c r="B780" s="969" t="s">
        <v>2115</v>
      </c>
      <c r="C780" s="994" t="s">
        <v>520</v>
      </c>
      <c r="D780" s="995">
        <v>1</v>
      </c>
      <c r="E780" s="1008"/>
      <c r="F780" s="1070">
        <f>D780*E780</f>
        <v>0</v>
      </c>
    </row>
    <row r="781" spans="1:6" ht="12.75">
      <c r="A781" s="907"/>
      <c r="B781" s="969" t="s">
        <v>2119</v>
      </c>
      <c r="C781" s="994" t="s">
        <v>520</v>
      </c>
      <c r="D781" s="995">
        <v>1</v>
      </c>
      <c r="E781" s="1008"/>
      <c r="F781" s="1070">
        <f>D781*E781</f>
        <v>0</v>
      </c>
    </row>
    <row r="782" spans="1:6" ht="12.75">
      <c r="A782" s="907"/>
      <c r="B782" s="969"/>
      <c r="C782" s="994"/>
      <c r="D782" s="995"/>
      <c r="E782" s="1065"/>
      <c r="F782" s="936"/>
    </row>
    <row r="783" spans="1:6" ht="38.25">
      <c r="A783" s="1017">
        <f>MAX($A$63:A782)+1</f>
        <v>111</v>
      </c>
      <c r="B783" s="969" t="s">
        <v>2124</v>
      </c>
      <c r="C783" s="994"/>
      <c r="D783" s="995"/>
      <c r="E783" s="1072"/>
      <c r="F783" s="980"/>
    </row>
    <row r="784" spans="1:6" ht="12.75">
      <c r="A784" s="1017"/>
      <c r="B784" s="969" t="s">
        <v>2125</v>
      </c>
      <c r="C784" s="994" t="s">
        <v>520</v>
      </c>
      <c r="D784" s="995">
        <v>2</v>
      </c>
      <c r="E784" s="1008"/>
      <c r="F784" s="1070">
        <f>D784*E784</f>
        <v>0</v>
      </c>
    </row>
    <row r="785" spans="1:6" ht="12.75">
      <c r="A785" s="907"/>
      <c r="B785" s="969"/>
      <c r="C785" s="994"/>
      <c r="D785" s="995"/>
      <c r="E785" s="1065"/>
      <c r="F785" s="936"/>
    </row>
    <row r="786" spans="1:6" ht="38.25">
      <c r="A786" s="1017">
        <f>MAX($A$63:A785)+1</f>
        <v>112</v>
      </c>
      <c r="B786" s="969" t="s">
        <v>2126</v>
      </c>
      <c r="C786" s="994"/>
      <c r="D786" s="995"/>
      <c r="E786" s="1072"/>
      <c r="F786" s="980"/>
    </row>
    <row r="787" spans="1:6" ht="12.75">
      <c r="A787" s="1017"/>
      <c r="B787" s="969" t="s">
        <v>2127</v>
      </c>
      <c r="C787" s="994" t="s">
        <v>520</v>
      </c>
      <c r="D787" s="995">
        <v>1</v>
      </c>
      <c r="E787" s="1008"/>
      <c r="F787" s="1070">
        <f>D787*E787</f>
        <v>0</v>
      </c>
    </row>
    <row r="788" spans="1:6" ht="12.75">
      <c r="A788" s="907"/>
      <c r="B788" s="969"/>
      <c r="C788" s="994"/>
      <c r="D788" s="995"/>
      <c r="E788" s="1065"/>
      <c r="F788" s="936"/>
    </row>
    <row r="789" spans="1:6" ht="38.25">
      <c r="A789" s="1017">
        <f>MAX($A$63:A788)+1</f>
        <v>113</v>
      </c>
      <c r="B789" s="969" t="s">
        <v>2128</v>
      </c>
      <c r="C789" s="994"/>
      <c r="D789" s="995"/>
      <c r="E789" s="1072"/>
      <c r="F789" s="980"/>
    </row>
    <row r="790" spans="1:6" ht="12.75">
      <c r="A790" s="1017"/>
      <c r="B790" s="969" t="s">
        <v>2127</v>
      </c>
      <c r="C790" s="994" t="s">
        <v>520</v>
      </c>
      <c r="D790" s="995">
        <v>2</v>
      </c>
      <c r="E790" s="1008"/>
      <c r="F790" s="1070">
        <f>D790*E790</f>
        <v>0</v>
      </c>
    </row>
    <row r="791" spans="1:6" ht="12.75">
      <c r="A791" s="907"/>
      <c r="B791" s="1108"/>
      <c r="C791" s="944"/>
      <c r="D791" s="977"/>
      <c r="E791" s="1005"/>
      <c r="F791" s="951"/>
    </row>
    <row r="792" spans="1:6" ht="12.75">
      <c r="A792" s="952" t="s">
        <v>1127</v>
      </c>
      <c r="B792" s="1058" t="s">
        <v>1661</v>
      </c>
      <c r="C792" s="954"/>
      <c r="D792" s="1059"/>
      <c r="E792" s="1060"/>
      <c r="F792" s="1061">
        <f>SUBTOTAL(9,F797:F848)</f>
        <v>0</v>
      </c>
    </row>
    <row r="793" spans="1:6" ht="12.75">
      <c r="A793" s="907"/>
      <c r="B793" s="983"/>
      <c r="C793" s="1064"/>
      <c r="D793" s="981"/>
      <c r="E793" s="1065"/>
      <c r="F793" s="936"/>
    </row>
    <row r="794" spans="1:6" ht="12.75">
      <c r="A794" s="907"/>
      <c r="B794" s="1124" t="s">
        <v>2129</v>
      </c>
      <c r="C794" s="980"/>
      <c r="D794" s="981"/>
      <c r="E794" s="1152"/>
      <c r="F794" s="907"/>
    </row>
    <row r="795" spans="1:6" ht="12.75">
      <c r="A795" s="907"/>
      <c r="B795" s="983"/>
      <c r="C795" s="980"/>
      <c r="D795" s="981"/>
      <c r="E795" s="1152"/>
      <c r="F795" s="907"/>
    </row>
    <row r="796" spans="1:6" ht="25.5">
      <c r="A796" s="979">
        <f>MAX($A$62:A795)+1</f>
        <v>114</v>
      </c>
      <c r="B796" s="983" t="s">
        <v>2130</v>
      </c>
      <c r="C796" s="980"/>
      <c r="D796" s="981"/>
      <c r="E796" s="1152"/>
      <c r="F796" s="907"/>
    </row>
    <row r="797" spans="1:6" ht="12.75">
      <c r="A797" s="907"/>
      <c r="B797" s="983" t="s">
        <v>2131</v>
      </c>
      <c r="C797" s="980" t="s">
        <v>520</v>
      </c>
      <c r="D797" s="981">
        <v>1</v>
      </c>
      <c r="E797" s="1008"/>
      <c r="F797" s="1070">
        <f>+E797*D797</f>
        <v>0</v>
      </c>
    </row>
    <row r="798" spans="1:6" ht="12.75">
      <c r="A798" s="907"/>
      <c r="B798" s="983"/>
      <c r="C798" s="980"/>
      <c r="D798" s="981"/>
      <c r="E798" s="1152"/>
      <c r="F798" s="907"/>
    </row>
    <row r="799" spans="1:6" ht="38.25">
      <c r="A799" s="1017">
        <f>MAX($A$61:A798)+1</f>
        <v>115</v>
      </c>
      <c r="B799" s="929" t="s">
        <v>2132</v>
      </c>
      <c r="C799" s="980"/>
      <c r="D799" s="981"/>
      <c r="E799" s="1100"/>
      <c r="F799" s="1101"/>
    </row>
    <row r="800" spans="1:6" ht="12.75">
      <c r="A800" s="1099"/>
      <c r="B800" s="929" t="s">
        <v>1923</v>
      </c>
      <c r="C800" s="980" t="s">
        <v>520</v>
      </c>
      <c r="D800" s="981">
        <v>1</v>
      </c>
      <c r="E800" s="1008"/>
      <c r="F800" s="1070">
        <f>+E800*D800</f>
        <v>0</v>
      </c>
    </row>
    <row r="801" spans="1:6" ht="12.75">
      <c r="A801" s="1099"/>
      <c r="B801" s="929"/>
      <c r="C801" s="980"/>
      <c r="D801" s="981"/>
      <c r="E801" s="1098"/>
      <c r="F801" s="1098"/>
    </row>
    <row r="802" spans="1:6" ht="51">
      <c r="A802" s="979">
        <f>MAX($A$62:A801)+1</f>
        <v>116</v>
      </c>
      <c r="B802" s="983" t="s">
        <v>2133</v>
      </c>
      <c r="C802" s="980"/>
      <c r="D802" s="981"/>
      <c r="E802" s="1152"/>
      <c r="F802" s="907"/>
    </row>
    <row r="803" spans="1:6" ht="12.75">
      <c r="A803" s="907"/>
      <c r="B803" s="983" t="s">
        <v>2050</v>
      </c>
      <c r="C803" s="980" t="s">
        <v>650</v>
      </c>
      <c r="D803" s="981">
        <v>12</v>
      </c>
      <c r="E803" s="1008"/>
      <c r="F803" s="1070">
        <f>+E803*D803</f>
        <v>0</v>
      </c>
    </row>
    <row r="804" spans="1:6" ht="12.75">
      <c r="A804" s="907"/>
      <c r="B804" s="983"/>
      <c r="C804" s="980"/>
      <c r="D804" s="981"/>
      <c r="E804" s="1152"/>
      <c r="F804" s="907"/>
    </row>
    <row r="805" spans="1:6" ht="12.75">
      <c r="A805" s="907"/>
      <c r="B805" s="983"/>
      <c r="C805" s="980"/>
      <c r="D805" s="981"/>
      <c r="E805" s="1152"/>
      <c r="F805" s="907"/>
    </row>
    <row r="806" spans="1:6" ht="51">
      <c r="A806" s="979">
        <f>MAX($A$62:A805)+1</f>
        <v>117</v>
      </c>
      <c r="B806" s="983" t="s">
        <v>2134</v>
      </c>
      <c r="C806" s="980"/>
      <c r="D806" s="981"/>
      <c r="E806" s="1152"/>
      <c r="F806" s="907"/>
    </row>
    <row r="807" spans="1:6" ht="12.75">
      <c r="A807" s="907"/>
      <c r="B807" s="983" t="s">
        <v>2135</v>
      </c>
      <c r="C807" s="980" t="s">
        <v>650</v>
      </c>
      <c r="D807" s="981">
        <v>2</v>
      </c>
      <c r="E807" s="1008"/>
      <c r="F807" s="1070">
        <f>+E807*D807</f>
        <v>0</v>
      </c>
    </row>
    <row r="808" spans="1:6" ht="12.75">
      <c r="A808" s="907"/>
      <c r="B808" s="983"/>
      <c r="C808" s="980"/>
      <c r="D808" s="981"/>
      <c r="E808" s="1152"/>
      <c r="F808" s="907"/>
    </row>
    <row r="809" spans="1:6" ht="38.25">
      <c r="A809" s="1017">
        <f>MAX($A$61:A808)+1</f>
        <v>118</v>
      </c>
      <c r="B809" s="968" t="s">
        <v>2136</v>
      </c>
      <c r="C809" s="944"/>
      <c r="D809" s="977"/>
      <c r="E809" s="1100"/>
      <c r="F809" s="1101"/>
    </row>
    <row r="810" spans="1:6" ht="12.75">
      <c r="A810" s="1073"/>
      <c r="B810" s="968"/>
      <c r="C810" s="1110" t="s">
        <v>748</v>
      </c>
      <c r="D810" s="1111">
        <v>1</v>
      </c>
      <c r="E810" s="1008"/>
      <c r="F810" s="1070">
        <f>D810*E810</f>
        <v>0</v>
      </c>
    </row>
    <row r="811" spans="1:6" ht="12.75">
      <c r="A811" s="1073"/>
      <c r="B811" s="968"/>
      <c r="C811" s="1110"/>
      <c r="D811" s="1111"/>
      <c r="E811" s="1098"/>
      <c r="F811" s="1125"/>
    </row>
    <row r="812" spans="1:6" ht="12.75">
      <c r="A812" s="1099"/>
      <c r="B812" s="968"/>
      <c r="C812" s="1110"/>
      <c r="D812" s="1111"/>
      <c r="E812" s="1100"/>
      <c r="F812" s="1101"/>
    </row>
    <row r="813" spans="1:6" ht="38.25">
      <c r="A813" s="1017">
        <f>MAX($A$61:A812)+1</f>
        <v>119</v>
      </c>
      <c r="B813" s="968" t="s">
        <v>2137</v>
      </c>
      <c r="C813" s="1126" t="s">
        <v>748</v>
      </c>
      <c r="D813" s="981">
        <v>1</v>
      </c>
      <c r="E813" s="1127"/>
      <c r="F813" s="1128">
        <f>D813*E813</f>
        <v>0</v>
      </c>
    </row>
    <row r="814" spans="1:6" ht="12.75">
      <c r="A814" s="1073"/>
      <c r="B814" s="968"/>
      <c r="C814" s="1110"/>
      <c r="D814" s="1111"/>
      <c r="E814" s="1100"/>
      <c r="F814" s="1101"/>
    </row>
    <row r="815" spans="1:6" ht="51">
      <c r="A815" s="1017">
        <f>MAX($A$61:A814)+1</f>
        <v>120</v>
      </c>
      <c r="B815" s="968" t="s">
        <v>2138</v>
      </c>
      <c r="C815" s="944"/>
      <c r="D815" s="977"/>
      <c r="E815" s="1100"/>
      <c r="F815" s="1101"/>
    </row>
    <row r="816" spans="1:6" ht="12.75">
      <c r="A816" s="1073"/>
      <c r="B816" s="968"/>
      <c r="C816" s="1110" t="s">
        <v>748</v>
      </c>
      <c r="D816" s="1111">
        <v>1</v>
      </c>
      <c r="E816" s="1008"/>
      <c r="F816" s="1070">
        <f>D816*E816</f>
        <v>0</v>
      </c>
    </row>
    <row r="817" spans="1:6" ht="12.75">
      <c r="A817" s="1073"/>
      <c r="B817" s="968"/>
      <c r="C817" s="1110"/>
      <c r="D817" s="1111"/>
      <c r="E817" s="1098"/>
      <c r="F817" s="1125"/>
    </row>
    <row r="818" spans="1:6" ht="25.5">
      <c r="A818" s="1017">
        <f>MAX($A$61:A817)+1</f>
        <v>121</v>
      </c>
      <c r="B818" s="968" t="s">
        <v>2139</v>
      </c>
      <c r="C818" s="944"/>
      <c r="D818" s="977"/>
      <c r="E818" s="1065"/>
      <c r="F818" s="936"/>
    </row>
    <row r="819" spans="1:6" ht="12.75">
      <c r="A819" s="1099"/>
      <c r="B819" s="1129"/>
      <c r="C819" s="1110" t="s">
        <v>1313</v>
      </c>
      <c r="D819" s="1111">
        <v>4</v>
      </c>
      <c r="E819" s="1008"/>
      <c r="F819" s="1070">
        <f>D819*E819</f>
        <v>0</v>
      </c>
    </row>
    <row r="820" spans="1:6" ht="12.75">
      <c r="A820" s="1073"/>
      <c r="B820" s="1129"/>
      <c r="C820" s="1130"/>
      <c r="D820" s="1131"/>
      <c r="E820" s="1098"/>
      <c r="F820" s="1125"/>
    </row>
    <row r="821" spans="1:6" ht="12.75">
      <c r="A821" s="907"/>
      <c r="B821" s="1097" t="s">
        <v>2140</v>
      </c>
      <c r="C821" s="980"/>
      <c r="D821" s="981"/>
      <c r="E821" s="1152"/>
      <c r="F821" s="907"/>
    </row>
    <row r="822" spans="1:6" ht="12.75">
      <c r="A822" s="907"/>
      <c r="B822" s="983"/>
      <c r="C822" s="980"/>
      <c r="D822" s="981"/>
      <c r="E822" s="1152"/>
      <c r="F822" s="907"/>
    </row>
    <row r="823" spans="1:6" ht="65.25">
      <c r="A823" s="979">
        <f>MAX($A$62:A822)+1</f>
        <v>122</v>
      </c>
      <c r="B823" s="983" t="s">
        <v>2292</v>
      </c>
      <c r="C823" s="980"/>
      <c r="D823" s="981"/>
      <c r="E823" s="1152"/>
      <c r="F823" s="907"/>
    </row>
    <row r="824" spans="1:6" ht="12.75">
      <c r="A824" s="907"/>
      <c r="B824" s="983" t="s">
        <v>2141</v>
      </c>
      <c r="C824" s="980" t="s">
        <v>520</v>
      </c>
      <c r="D824" s="981">
        <v>1</v>
      </c>
      <c r="E824" s="1008"/>
      <c r="F824" s="1070">
        <f>+E824*D824</f>
        <v>0</v>
      </c>
    </row>
    <row r="825" spans="1:6" ht="12.75">
      <c r="A825" s="907"/>
      <c r="B825" s="983"/>
      <c r="C825" s="980"/>
      <c r="D825" s="981"/>
      <c r="E825" s="1152"/>
      <c r="F825" s="907"/>
    </row>
    <row r="826" spans="1:6" ht="25.5">
      <c r="A826" s="979">
        <f>MAX($A$62:A825)+1</f>
        <v>123</v>
      </c>
      <c r="B826" s="983" t="s">
        <v>2142</v>
      </c>
      <c r="C826" s="980"/>
      <c r="D826" s="981"/>
      <c r="E826" s="1152"/>
      <c r="F826" s="907"/>
    </row>
    <row r="827" spans="1:6" ht="12.75">
      <c r="A827" s="907"/>
      <c r="B827" s="983" t="s">
        <v>2143</v>
      </c>
      <c r="C827" s="980" t="s">
        <v>520</v>
      </c>
      <c r="D827" s="981">
        <v>1</v>
      </c>
      <c r="E827" s="1008"/>
      <c r="F827" s="1070">
        <f>+E827*D827</f>
        <v>0</v>
      </c>
    </row>
    <row r="828" spans="1:6" ht="12.75">
      <c r="A828" s="907"/>
      <c r="B828" s="983"/>
      <c r="C828" s="980"/>
      <c r="D828" s="981"/>
      <c r="E828" s="1152"/>
      <c r="F828" s="907"/>
    </row>
    <row r="829" spans="1:6" ht="38.25">
      <c r="A829" s="979">
        <f>MAX($A$62:A828)+1</f>
        <v>124</v>
      </c>
      <c r="B829" s="969" t="s">
        <v>2144</v>
      </c>
      <c r="C829" s="980"/>
      <c r="D829" s="981"/>
      <c r="E829" s="1152"/>
      <c r="F829" s="907"/>
    </row>
    <row r="830" spans="1:6" ht="12.75">
      <c r="A830" s="907"/>
      <c r="B830" s="983" t="s">
        <v>2145</v>
      </c>
      <c r="C830" s="980" t="s">
        <v>520</v>
      </c>
      <c r="D830" s="981">
        <v>1</v>
      </c>
      <c r="E830" s="1008"/>
      <c r="F830" s="1070">
        <f>+E830*D830</f>
        <v>0</v>
      </c>
    </row>
    <row r="831" spans="1:6" ht="12.75">
      <c r="A831" s="907"/>
      <c r="B831" s="983"/>
      <c r="C831" s="980"/>
      <c r="D831" s="981"/>
      <c r="E831" s="1152"/>
      <c r="F831" s="907"/>
    </row>
    <row r="832" spans="1:6" ht="51">
      <c r="A832" s="979">
        <f>MAX($A$62:A831)+1</f>
        <v>125</v>
      </c>
      <c r="B832" s="983" t="s">
        <v>2133</v>
      </c>
      <c r="C832" s="980"/>
      <c r="D832" s="981"/>
      <c r="E832" s="1152"/>
      <c r="F832" s="907"/>
    </row>
    <row r="833" spans="1:6" ht="12.75">
      <c r="A833" s="907"/>
      <c r="B833" s="983" t="s">
        <v>2050</v>
      </c>
      <c r="C833" s="980" t="s">
        <v>650</v>
      </c>
      <c r="D833" s="981">
        <v>18</v>
      </c>
      <c r="E833" s="1008"/>
      <c r="F833" s="1070">
        <f>+E833*D833</f>
        <v>0</v>
      </c>
    </row>
    <row r="834" spans="1:6" ht="12.75">
      <c r="A834" s="907"/>
      <c r="B834" s="983"/>
      <c r="C834" s="980"/>
      <c r="D834" s="981"/>
      <c r="E834" s="1152"/>
      <c r="F834" s="907"/>
    </row>
    <row r="835" spans="1:6" ht="12.75">
      <c r="A835" s="979">
        <f>MAX($A$62:A834)+1</f>
        <v>126</v>
      </c>
      <c r="B835" s="983" t="s">
        <v>2146</v>
      </c>
      <c r="C835" s="980"/>
      <c r="D835" s="981"/>
      <c r="E835" s="1152"/>
      <c r="F835" s="907"/>
    </row>
    <row r="836" spans="1:6" ht="12.75">
      <c r="A836" s="907"/>
      <c r="B836" s="983" t="s">
        <v>2147</v>
      </c>
      <c r="C836" s="980"/>
      <c r="D836" s="981"/>
      <c r="E836" s="1152"/>
      <c r="F836" s="907"/>
    </row>
    <row r="837" spans="1:6" ht="12.75">
      <c r="A837" s="907"/>
      <c r="B837" s="983" t="s">
        <v>2148</v>
      </c>
      <c r="C837" s="980" t="s">
        <v>520</v>
      </c>
      <c r="D837" s="981">
        <v>3</v>
      </c>
      <c r="E837" s="1008"/>
      <c r="F837" s="1070">
        <f>+E837*D837</f>
        <v>0</v>
      </c>
    </row>
    <row r="838" spans="1:6" ht="12.75">
      <c r="A838" s="907"/>
      <c r="B838" s="983"/>
      <c r="C838" s="980"/>
      <c r="D838" s="981"/>
      <c r="E838" s="1152"/>
      <c r="F838" s="907"/>
    </row>
    <row r="839" spans="1:6" ht="25.5">
      <c r="A839" s="1017">
        <f>MAX($A$62:A838)+1</f>
        <v>127</v>
      </c>
      <c r="B839" s="969" t="s">
        <v>2084</v>
      </c>
      <c r="C839" s="980"/>
      <c r="D839" s="981"/>
      <c r="E839" s="1065"/>
      <c r="F839" s="936"/>
    </row>
    <row r="840" spans="1:6" ht="12.75">
      <c r="A840" s="907"/>
      <c r="B840" s="983" t="s">
        <v>2085</v>
      </c>
      <c r="C840" s="980" t="s">
        <v>520</v>
      </c>
      <c r="D840" s="981">
        <v>1</v>
      </c>
      <c r="E840" s="1008"/>
      <c r="F840" s="1070">
        <f>D840*E840</f>
        <v>0</v>
      </c>
    </row>
    <row r="841" spans="1:6" ht="12.75">
      <c r="A841" s="907"/>
      <c r="B841" s="983"/>
      <c r="C841" s="980"/>
      <c r="D841" s="981"/>
      <c r="E841" s="1065"/>
      <c r="F841" s="936"/>
    </row>
    <row r="842" spans="1:6" ht="12.75">
      <c r="A842" s="979">
        <f>MAX($A$62:A838)+1</f>
        <v>127</v>
      </c>
      <c r="B842" s="983" t="s">
        <v>2149</v>
      </c>
      <c r="C842" s="980" t="s">
        <v>520</v>
      </c>
      <c r="D842" s="981">
        <v>1</v>
      </c>
      <c r="E842" s="1008"/>
      <c r="F842" s="1070">
        <f>+E842*D842</f>
        <v>0</v>
      </c>
    </row>
    <row r="843" spans="1:6" ht="12.75">
      <c r="A843" s="907"/>
      <c r="B843" s="983"/>
      <c r="C843" s="980"/>
      <c r="D843" s="981"/>
      <c r="E843" s="1152"/>
      <c r="F843" s="907"/>
    </row>
    <row r="844" spans="1:6" ht="38.25">
      <c r="A844" s="979">
        <f>MAX($A$62:A843)+1</f>
        <v>128</v>
      </c>
      <c r="B844" s="983" t="s">
        <v>2150</v>
      </c>
      <c r="C844" s="980"/>
      <c r="D844" s="981"/>
      <c r="E844" s="1152"/>
      <c r="F844" s="907"/>
    </row>
    <row r="845" spans="1:6" ht="12.75">
      <c r="A845" s="907"/>
      <c r="B845" s="983"/>
      <c r="C845" s="980" t="s">
        <v>1697</v>
      </c>
      <c r="D845" s="981">
        <v>1</v>
      </c>
      <c r="E845" s="1008"/>
      <c r="F845" s="1070">
        <f>+E845*D845</f>
        <v>0</v>
      </c>
    </row>
    <row r="846" spans="1:6" ht="12.75">
      <c r="A846" s="907"/>
      <c r="B846" s="983"/>
      <c r="C846" s="980"/>
      <c r="D846" s="981"/>
      <c r="E846" s="1152"/>
      <c r="F846" s="907"/>
    </row>
    <row r="847" spans="1:6" ht="25.5">
      <c r="A847" s="979">
        <f>MAX($A$62:A846)+1</f>
        <v>129</v>
      </c>
      <c r="B847" s="983" t="s">
        <v>2139</v>
      </c>
      <c r="C847" s="980"/>
      <c r="D847" s="981"/>
      <c r="E847" s="1152"/>
      <c r="F847" s="907"/>
    </row>
    <row r="848" spans="1:6" ht="12.75">
      <c r="A848" s="907"/>
      <c r="B848" s="983"/>
      <c r="C848" s="980" t="s">
        <v>1313</v>
      </c>
      <c r="D848" s="981">
        <v>4</v>
      </c>
      <c r="E848" s="1008"/>
      <c r="F848" s="1070">
        <f>+E848*D848</f>
        <v>0</v>
      </c>
    </row>
    <row r="849" spans="1:6" ht="12.75">
      <c r="A849" s="907"/>
      <c r="B849" s="1108"/>
      <c r="C849" s="944"/>
      <c r="D849" s="977"/>
      <c r="E849" s="1005"/>
      <c r="F849" s="951"/>
    </row>
    <row r="850" spans="1:6" ht="12.75">
      <c r="A850" s="952" t="s">
        <v>1339</v>
      </c>
      <c r="B850" s="1058" t="s">
        <v>2151</v>
      </c>
      <c r="C850" s="954"/>
      <c r="D850" s="1059"/>
      <c r="E850" s="1060"/>
      <c r="F850" s="1061">
        <f>SUBTOTAL(9,F856:F930)</f>
        <v>0</v>
      </c>
    </row>
    <row r="851" spans="1:6" ht="12.75">
      <c r="A851" s="952"/>
      <c r="B851" s="1058"/>
      <c r="C851" s="954"/>
      <c r="D851" s="1059"/>
      <c r="E851" s="1060"/>
      <c r="F851" s="1062"/>
    </row>
    <row r="852" spans="1:6" ht="51">
      <c r="A852" s="979">
        <f>MAX($A$62:A851)+1</f>
        <v>130</v>
      </c>
      <c r="B852" s="1108" t="s">
        <v>2152</v>
      </c>
      <c r="C852" s="980"/>
      <c r="D852" s="981"/>
      <c r="E852" s="1065"/>
      <c r="F852" s="936"/>
    </row>
    <row r="853" spans="1:6" ht="14.25">
      <c r="A853" s="936"/>
      <c r="B853" s="1035" t="s">
        <v>2293</v>
      </c>
      <c r="C853" s="980"/>
      <c r="D853" s="981"/>
      <c r="E853" s="1065"/>
      <c r="F853" s="936"/>
    </row>
    <row r="854" spans="1:6" ht="12.75">
      <c r="A854" s="936"/>
      <c r="B854" s="1035" t="s">
        <v>2153</v>
      </c>
      <c r="C854" s="980"/>
      <c r="D854" s="981"/>
      <c r="E854" s="1065"/>
      <c r="F854" s="936"/>
    </row>
    <row r="855" spans="1:6" ht="12.75">
      <c r="A855" s="907"/>
      <c r="B855" s="1035" t="s">
        <v>2154</v>
      </c>
      <c r="C855" s="980"/>
      <c r="D855" s="981"/>
      <c r="E855" s="1065"/>
      <c r="F855" s="936"/>
    </row>
    <row r="856" spans="1:6" ht="12.75">
      <c r="A856" s="907"/>
      <c r="B856" s="1035" t="s">
        <v>2155</v>
      </c>
      <c r="C856" s="980"/>
      <c r="D856" s="981"/>
      <c r="E856" s="1065"/>
      <c r="F856" s="936"/>
    </row>
    <row r="857" spans="1:6" ht="12.75">
      <c r="A857" s="907"/>
      <c r="B857" s="1035" t="s">
        <v>2156</v>
      </c>
      <c r="C857" s="1132" t="s">
        <v>520</v>
      </c>
      <c r="D857" s="1069">
        <v>31</v>
      </c>
      <c r="E857" s="1008"/>
      <c r="F857" s="1070">
        <f>D857*E857</f>
        <v>0</v>
      </c>
    </row>
    <row r="858" spans="1:6" ht="12.75">
      <c r="A858" s="907"/>
      <c r="B858" s="983"/>
      <c r="C858" s="980"/>
      <c r="D858" s="981"/>
      <c r="E858" s="1065"/>
      <c r="F858" s="936"/>
    </row>
    <row r="859" spans="1:6" ht="65.25">
      <c r="A859" s="1017">
        <f>MAX($A$61:A858)+1</f>
        <v>131</v>
      </c>
      <c r="B859" s="941" t="s">
        <v>2294</v>
      </c>
      <c r="C859" s="950"/>
      <c r="D859" s="984"/>
      <c r="E859" s="1065"/>
      <c r="F859" s="936"/>
    </row>
    <row r="860" spans="1:6" ht="12.75">
      <c r="A860" s="907"/>
      <c r="B860" s="941" t="s">
        <v>2157</v>
      </c>
      <c r="C860" s="950"/>
      <c r="D860" s="984"/>
      <c r="E860" s="1065"/>
      <c r="F860" s="936"/>
    </row>
    <row r="861" spans="1:6" ht="14.25">
      <c r="A861" s="907"/>
      <c r="B861" s="941" t="s">
        <v>2293</v>
      </c>
      <c r="C861" s="950"/>
      <c r="D861" s="984"/>
      <c r="E861" s="1065"/>
      <c r="F861" s="936"/>
    </row>
    <row r="862" spans="1:6" ht="12.75">
      <c r="A862" s="907"/>
      <c r="B862" s="1133" t="s">
        <v>2295</v>
      </c>
      <c r="C862" s="950"/>
      <c r="D862" s="984"/>
      <c r="E862" s="1065"/>
      <c r="F862" s="936"/>
    </row>
    <row r="863" spans="1:6" ht="12.75">
      <c r="A863" s="907"/>
      <c r="B863" s="941" t="s">
        <v>2158</v>
      </c>
      <c r="C863" s="950"/>
      <c r="D863" s="984"/>
      <c r="E863" s="1065"/>
      <c r="F863" s="936"/>
    </row>
    <row r="864" spans="1:6" ht="12.75">
      <c r="A864" s="907"/>
      <c r="B864" s="941" t="s">
        <v>2159</v>
      </c>
      <c r="C864" s="950"/>
      <c r="D864" s="984"/>
      <c r="E864" s="1065"/>
      <c r="F864" s="936"/>
    </row>
    <row r="865" spans="1:6" ht="12.75">
      <c r="A865" s="907"/>
      <c r="B865" s="941" t="s">
        <v>2160</v>
      </c>
      <c r="C865" s="950"/>
      <c r="D865" s="984"/>
      <c r="E865" s="1065"/>
      <c r="F865" s="936"/>
    </row>
    <row r="866" spans="1:6" ht="12.75">
      <c r="A866" s="907"/>
      <c r="B866" s="983" t="s">
        <v>2161</v>
      </c>
      <c r="C866" s="950" t="s">
        <v>520</v>
      </c>
      <c r="D866" s="984">
        <v>116</v>
      </c>
      <c r="E866" s="1008"/>
      <c r="F866" s="1070">
        <f>+E866*D866</f>
        <v>0</v>
      </c>
    </row>
    <row r="867" spans="1:6" ht="12.75">
      <c r="A867" s="907"/>
      <c r="B867" s="983"/>
      <c r="C867" s="950"/>
      <c r="D867" s="984"/>
      <c r="E867" s="1005"/>
      <c r="F867" s="951"/>
    </row>
    <row r="868" spans="1:6" ht="25.5">
      <c r="A868" s="1017">
        <f>MAX($A$61:A867)+1</f>
        <v>132</v>
      </c>
      <c r="B868" s="1122" t="s">
        <v>2162</v>
      </c>
      <c r="C868" s="944"/>
      <c r="D868" s="977"/>
      <c r="E868" s="1065"/>
      <c r="F868" s="936"/>
    </row>
    <row r="869" spans="1:6" ht="12.75">
      <c r="A869" s="907"/>
      <c r="B869" s="1122" t="s">
        <v>2163</v>
      </c>
      <c r="C869" s="944"/>
      <c r="D869" s="977"/>
      <c r="E869" s="1065"/>
      <c r="F869" s="936"/>
    </row>
    <row r="870" spans="1:6" ht="12.75">
      <c r="A870" s="907"/>
      <c r="B870" s="1122" t="s">
        <v>2164</v>
      </c>
      <c r="C870" s="944"/>
      <c r="D870" s="977"/>
      <c r="E870" s="1065"/>
      <c r="F870" s="936"/>
    </row>
    <row r="871" spans="1:6" ht="12.75">
      <c r="A871" s="907"/>
      <c r="B871" s="1122" t="s">
        <v>2165</v>
      </c>
      <c r="C871" s="944"/>
      <c r="D871" s="977"/>
      <c r="E871" s="1065"/>
      <c r="F871" s="936"/>
    </row>
    <row r="872" spans="1:6" ht="12.75">
      <c r="A872" s="907"/>
      <c r="B872" s="1122" t="s">
        <v>2166</v>
      </c>
      <c r="C872" s="944"/>
      <c r="D872" s="977"/>
      <c r="E872" s="1065"/>
      <c r="F872" s="936"/>
    </row>
    <row r="873" spans="1:6" ht="18.75">
      <c r="A873" s="907"/>
      <c r="B873" s="1122" t="s">
        <v>2296</v>
      </c>
      <c r="C873" s="944"/>
      <c r="D873" s="977"/>
      <c r="E873" s="1065"/>
      <c r="F873" s="936"/>
    </row>
    <row r="874" spans="1:6" ht="12.75">
      <c r="A874" s="907"/>
      <c r="B874" s="1122" t="s">
        <v>2167</v>
      </c>
      <c r="C874" s="944"/>
      <c r="D874" s="977"/>
      <c r="E874" s="1065"/>
      <c r="F874" s="936"/>
    </row>
    <row r="875" spans="1:6" ht="12.75">
      <c r="A875" s="907"/>
      <c r="B875" s="1122" t="s">
        <v>2168</v>
      </c>
      <c r="C875" s="944"/>
      <c r="D875" s="977"/>
      <c r="E875" s="1065"/>
      <c r="F875" s="936"/>
    </row>
    <row r="876" spans="1:6" ht="12.75">
      <c r="A876" s="907"/>
      <c r="B876" s="1122" t="s">
        <v>2169</v>
      </c>
      <c r="C876" s="944"/>
      <c r="D876" s="977"/>
      <c r="E876" s="1065"/>
      <c r="F876" s="936"/>
    </row>
    <row r="877" spans="1:6" ht="12.75">
      <c r="A877" s="907"/>
      <c r="B877" s="1122" t="s">
        <v>2170</v>
      </c>
      <c r="C877" s="944"/>
      <c r="D877" s="977"/>
      <c r="E877" s="1065"/>
      <c r="F877" s="936"/>
    </row>
    <row r="878" spans="1:6" ht="12.75">
      <c r="A878" s="907"/>
      <c r="B878" s="983" t="s">
        <v>2171</v>
      </c>
      <c r="C878" s="950" t="s">
        <v>520</v>
      </c>
      <c r="D878" s="984">
        <v>23</v>
      </c>
      <c r="E878" s="1008"/>
      <c r="F878" s="1070">
        <f>+E878*D878</f>
        <v>0</v>
      </c>
    </row>
    <row r="879" spans="1:6" ht="12.75">
      <c r="A879" s="907"/>
      <c r="B879" s="941"/>
      <c r="C879" s="944"/>
      <c r="D879" s="977"/>
      <c r="E879" s="1065"/>
      <c r="F879" s="936"/>
    </row>
    <row r="880" spans="1:6" ht="38.25">
      <c r="A880" s="1017">
        <f>MAX($A$63:A879)+1</f>
        <v>133</v>
      </c>
      <c r="B880" s="983" t="s">
        <v>2172</v>
      </c>
      <c r="C880" s="950"/>
      <c r="D880" s="984"/>
      <c r="E880" s="1065"/>
      <c r="F880" s="936"/>
    </row>
    <row r="881" spans="1:6" ht="15.75">
      <c r="A881" s="907"/>
      <c r="B881" s="983" t="s">
        <v>2297</v>
      </c>
      <c r="C881" s="950"/>
      <c r="D881" s="984"/>
      <c r="E881" s="1065"/>
      <c r="F881" s="936"/>
    </row>
    <row r="882" spans="1:6" ht="12.75">
      <c r="A882" s="907"/>
      <c r="B882" s="983" t="s">
        <v>2173</v>
      </c>
      <c r="C882" s="950"/>
      <c r="D882" s="984"/>
      <c r="E882" s="1105"/>
      <c r="F882" s="1106"/>
    </row>
    <row r="883" spans="1:6" ht="12.75">
      <c r="A883" s="907"/>
      <c r="B883" s="983" t="s">
        <v>2174</v>
      </c>
      <c r="C883" s="950"/>
      <c r="D883" s="984"/>
      <c r="E883" s="1105"/>
      <c r="F883" s="1106"/>
    </row>
    <row r="884" spans="1:6" ht="12.75">
      <c r="A884" s="907"/>
      <c r="B884" s="983" t="s">
        <v>2175</v>
      </c>
      <c r="C884" s="980" t="s">
        <v>520</v>
      </c>
      <c r="D884" s="981">
        <v>1</v>
      </c>
      <c r="E884" s="1008"/>
      <c r="F884" s="1070">
        <f>D884*E884</f>
        <v>0</v>
      </c>
    </row>
    <row r="885" spans="1:6" ht="12.75">
      <c r="A885" s="907"/>
      <c r="B885" s="983"/>
      <c r="C885" s="950"/>
      <c r="D885" s="984"/>
      <c r="E885" s="1065"/>
      <c r="F885" s="936"/>
    </row>
    <row r="886" spans="1:6" ht="63.75">
      <c r="A886" s="1017">
        <f>MAX($A$61:A885)+1</f>
        <v>134</v>
      </c>
      <c r="B886" s="983" t="s">
        <v>2176</v>
      </c>
      <c r="C886" s="950"/>
      <c r="D886" s="984"/>
      <c r="E886" s="1153"/>
      <c r="F886" s="951"/>
    </row>
    <row r="887" spans="1:6" ht="12.75">
      <c r="A887" s="907"/>
      <c r="B887" s="983" t="s">
        <v>2177</v>
      </c>
      <c r="C887" s="950"/>
      <c r="D887" s="984"/>
      <c r="E887" s="1153"/>
      <c r="F887" s="951"/>
    </row>
    <row r="888" spans="1:6" ht="12.75">
      <c r="A888" s="907"/>
      <c r="B888" s="983" t="s">
        <v>2178</v>
      </c>
      <c r="C888" s="950" t="s">
        <v>520</v>
      </c>
      <c r="D888" s="984">
        <v>1</v>
      </c>
      <c r="E888" s="1008"/>
      <c r="F888" s="1085">
        <f>D888*E888</f>
        <v>0</v>
      </c>
    </row>
    <row r="889" spans="1:6" ht="12.75">
      <c r="A889" s="907"/>
      <c r="B889" s="983" t="s">
        <v>2179</v>
      </c>
      <c r="C889" s="950"/>
      <c r="D889" s="984"/>
      <c r="E889" s="1153"/>
      <c r="F889" s="951"/>
    </row>
    <row r="890" spans="1:6" ht="12.75">
      <c r="A890" s="907"/>
      <c r="B890" s="983"/>
      <c r="C890" s="950"/>
      <c r="D890" s="984"/>
      <c r="E890" s="1153"/>
      <c r="F890" s="951"/>
    </row>
    <row r="891" spans="1:6" ht="25.5">
      <c r="A891" s="1017">
        <f>MAX($A$61:A890)+1</f>
        <v>135</v>
      </c>
      <c r="B891" s="983" t="s">
        <v>2180</v>
      </c>
      <c r="C891" s="950"/>
      <c r="D891" s="984"/>
      <c r="E891" s="1005"/>
      <c r="F891" s="951"/>
    </row>
    <row r="892" spans="1:6" ht="12.75">
      <c r="A892" s="907"/>
      <c r="B892" s="983" t="s">
        <v>2181</v>
      </c>
      <c r="C892" s="950"/>
      <c r="D892" s="984"/>
      <c r="E892" s="1005"/>
      <c r="F892" s="951"/>
    </row>
    <row r="893" spans="1:6" ht="12.75">
      <c r="A893" s="907"/>
      <c r="B893" s="983" t="s">
        <v>2182</v>
      </c>
      <c r="C893" s="950" t="s">
        <v>520</v>
      </c>
      <c r="D893" s="984">
        <v>3</v>
      </c>
      <c r="E893" s="982"/>
      <c r="F893" s="1085">
        <f>D893*E893</f>
        <v>0</v>
      </c>
    </row>
    <row r="894" spans="1:6" ht="12.75">
      <c r="A894" s="907"/>
      <c r="B894" s="983"/>
      <c r="C894" s="950"/>
      <c r="D894" s="984"/>
      <c r="E894" s="1005"/>
      <c r="F894" s="951"/>
    </row>
    <row r="895" spans="1:6" ht="25.5">
      <c r="A895" s="1017">
        <f>MAX($A$61:A894)+1</f>
        <v>136</v>
      </c>
      <c r="B895" s="983" t="s">
        <v>2183</v>
      </c>
      <c r="C895" s="950"/>
      <c r="D895" s="984"/>
      <c r="E895" s="1005"/>
      <c r="F895" s="951"/>
    </row>
    <row r="896" spans="1:6" ht="12.75">
      <c r="A896" s="907"/>
      <c r="B896" s="983" t="s">
        <v>2184</v>
      </c>
      <c r="C896" s="950"/>
      <c r="D896" s="984"/>
      <c r="E896" s="1005"/>
      <c r="F896" s="951"/>
    </row>
    <row r="897" spans="1:6" ht="12.75">
      <c r="A897" s="907"/>
      <c r="B897" s="983" t="s">
        <v>2185</v>
      </c>
      <c r="C897" s="950" t="s">
        <v>520</v>
      </c>
      <c r="D897" s="984">
        <v>31</v>
      </c>
      <c r="E897" s="982"/>
      <c r="F897" s="1085">
        <f>D897*E897</f>
        <v>0</v>
      </c>
    </row>
    <row r="898" spans="1:6" ht="12.75">
      <c r="A898" s="1106"/>
      <c r="B898" s="983"/>
      <c r="C898" s="980"/>
      <c r="D898" s="981"/>
      <c r="E898" s="1134"/>
      <c r="F898" s="978"/>
    </row>
    <row r="899" spans="1:6" ht="38.25">
      <c r="A899" s="1017">
        <f>MAX($A$63:A898)+1</f>
        <v>137</v>
      </c>
      <c r="B899" s="1025" t="s">
        <v>2186</v>
      </c>
      <c r="C899" s="980"/>
      <c r="D899" s="981"/>
      <c r="E899" s="1134"/>
      <c r="F899" s="978"/>
    </row>
    <row r="900" spans="1:6" ht="12.75">
      <c r="A900" s="1106"/>
      <c r="B900" s="983" t="s">
        <v>2187</v>
      </c>
      <c r="C900" s="980" t="s">
        <v>520</v>
      </c>
      <c r="D900" s="981">
        <v>2</v>
      </c>
      <c r="E900" s="982"/>
      <c r="F900" s="1085">
        <f>D900*E900</f>
        <v>0</v>
      </c>
    </row>
    <row r="901" spans="1:6" ht="12.75">
      <c r="A901" s="1106"/>
      <c r="B901" s="1025" t="s">
        <v>2188</v>
      </c>
      <c r="C901" s="980"/>
      <c r="D901" s="981"/>
      <c r="E901" s="1134"/>
      <c r="F901" s="978"/>
    </row>
    <row r="902" spans="1:6" ht="12.75">
      <c r="A902" s="1106"/>
      <c r="B902" s="1025"/>
      <c r="C902" s="980"/>
      <c r="D902" s="981"/>
      <c r="E902" s="1134"/>
      <c r="F902" s="978"/>
    </row>
    <row r="903" spans="1:6" ht="51">
      <c r="A903" s="1017">
        <f>MAX($A$63:A902)+1</f>
        <v>138</v>
      </c>
      <c r="B903" s="1025" t="s">
        <v>2189</v>
      </c>
      <c r="C903" s="980"/>
      <c r="D903" s="981"/>
      <c r="E903" s="1134"/>
      <c r="F903" s="978"/>
    </row>
    <row r="904" spans="1:6" ht="12.75">
      <c r="A904" s="1106"/>
      <c r="B904" s="1025" t="s">
        <v>2190</v>
      </c>
      <c r="C904" s="980" t="s">
        <v>520</v>
      </c>
      <c r="D904" s="981">
        <v>1</v>
      </c>
      <c r="E904" s="982"/>
      <c r="F904" s="1085">
        <f>D904*E904</f>
        <v>0</v>
      </c>
    </row>
    <row r="905" spans="1:6" ht="12.75">
      <c r="A905" s="1106"/>
      <c r="B905" s="983" t="s">
        <v>2191</v>
      </c>
      <c r="C905" s="980"/>
      <c r="D905" s="981"/>
      <c r="E905" s="1134"/>
      <c r="F905" s="978"/>
    </row>
    <row r="906" spans="1:6" ht="12.75">
      <c r="A906" s="1106"/>
      <c r="B906" s="983"/>
      <c r="C906" s="980"/>
      <c r="D906" s="981"/>
      <c r="E906" s="1134"/>
      <c r="F906" s="978"/>
    </row>
    <row r="907" spans="1:6" ht="165.75">
      <c r="A907" s="1017">
        <f>MAX($A$63:A906)+1</f>
        <v>139</v>
      </c>
      <c r="B907" s="1026" t="s">
        <v>2192</v>
      </c>
      <c r="C907" s="1135"/>
      <c r="D907" s="1136"/>
      <c r="E907" s="1154"/>
      <c r="F907" s="1137"/>
    </row>
    <row r="908" spans="1:6" ht="25.5">
      <c r="A908" s="1116"/>
      <c r="B908" s="1026" t="s">
        <v>2193</v>
      </c>
      <c r="C908" s="1135"/>
      <c r="D908" s="1136"/>
      <c r="E908" s="1154"/>
      <c r="F908" s="1137"/>
    </row>
    <row r="909" spans="1:6" ht="89.25">
      <c r="A909" s="1116"/>
      <c r="B909" s="1026" t="s">
        <v>2194</v>
      </c>
      <c r="C909" s="1135"/>
      <c r="D909" s="1136"/>
      <c r="E909" s="1155"/>
      <c r="F909" s="1135"/>
    </row>
    <row r="910" spans="1:6" ht="12.75">
      <c r="A910" s="1116"/>
      <c r="B910" s="1026"/>
      <c r="C910" s="1135" t="s">
        <v>721</v>
      </c>
      <c r="D910" s="1136">
        <v>60</v>
      </c>
      <c r="E910" s="1008"/>
      <c r="F910" s="967">
        <f>D910*E910</f>
        <v>0</v>
      </c>
    </row>
    <row r="911" spans="1:6" ht="12.75">
      <c r="A911" s="1116"/>
      <c r="B911" s="1026"/>
      <c r="C911" s="1135"/>
      <c r="D911" s="1136"/>
      <c r="E911" s="1138"/>
      <c r="F911" s="967"/>
    </row>
    <row r="912" spans="1:6" ht="63.75">
      <c r="A912" s="1017">
        <f>MAX($A$61:A911)+1</f>
        <v>140</v>
      </c>
      <c r="B912" s="983" t="s">
        <v>2195</v>
      </c>
      <c r="C912" s="950"/>
      <c r="D912" s="984"/>
      <c r="E912" s="1005"/>
      <c r="F912" s="951"/>
    </row>
    <row r="913" spans="1:6" ht="127.5">
      <c r="A913" s="907"/>
      <c r="B913" s="983" t="s">
        <v>2196</v>
      </c>
      <c r="C913" s="950"/>
      <c r="D913" s="984"/>
      <c r="E913" s="1005"/>
      <c r="F913" s="951"/>
    </row>
    <row r="914" spans="1:6" ht="12.75">
      <c r="A914" s="907"/>
      <c r="B914" s="983" t="s">
        <v>2197</v>
      </c>
      <c r="C914" s="950"/>
      <c r="D914" s="984"/>
      <c r="E914" s="1005"/>
      <c r="F914" s="951"/>
    </row>
    <row r="915" spans="1:6" ht="12.75">
      <c r="A915" s="907"/>
      <c r="B915" s="983" t="s">
        <v>2198</v>
      </c>
      <c r="C915" s="950" t="s">
        <v>520</v>
      </c>
      <c r="D915" s="984">
        <v>1</v>
      </c>
      <c r="E915" s="982"/>
      <c r="F915" s="1085">
        <f>D915*E915</f>
        <v>0</v>
      </c>
    </row>
    <row r="916" spans="1:6" ht="12.75">
      <c r="A916" s="907"/>
      <c r="B916" s="1097"/>
      <c r="C916" s="950"/>
      <c r="D916" s="984"/>
      <c r="E916" s="1005"/>
      <c r="F916" s="951"/>
    </row>
    <row r="917" spans="1:6" ht="102">
      <c r="A917" s="1017">
        <f>MAX($A$63:A911)+1</f>
        <v>140</v>
      </c>
      <c r="B917" s="1108" t="s">
        <v>2199</v>
      </c>
      <c r="C917" s="980"/>
      <c r="D917" s="981"/>
      <c r="E917" s="1065"/>
      <c r="F917" s="936"/>
    </row>
    <row r="918" spans="1:6" ht="12.75">
      <c r="A918" s="907"/>
      <c r="B918" s="1035" t="s">
        <v>2200</v>
      </c>
      <c r="C918" s="980"/>
      <c r="D918" s="981"/>
      <c r="E918" s="1065"/>
      <c r="F918" s="936"/>
    </row>
    <row r="919" spans="1:6" ht="14.25">
      <c r="A919" s="907"/>
      <c r="B919" s="1035" t="s">
        <v>2201</v>
      </c>
      <c r="C919" s="1132" t="s">
        <v>2277</v>
      </c>
      <c r="D919" s="1069">
        <v>2</v>
      </c>
      <c r="E919" s="1008"/>
      <c r="F919" s="1070">
        <f>D919*E919</f>
        <v>0</v>
      </c>
    </row>
    <row r="920" spans="1:6" ht="12.75">
      <c r="A920" s="907"/>
      <c r="B920" s="1108"/>
      <c r="C920" s="1132"/>
      <c r="D920" s="1069"/>
      <c r="E920" s="1098"/>
      <c r="F920" s="1070"/>
    </row>
    <row r="921" spans="1:6" ht="25.5">
      <c r="A921" s="1017">
        <f>MAX($A$63:A920)+1</f>
        <v>141</v>
      </c>
      <c r="B921" s="969" t="s">
        <v>2084</v>
      </c>
      <c r="C921" s="980"/>
      <c r="D921" s="981"/>
      <c r="E921" s="1065"/>
      <c r="F921" s="936"/>
    </row>
    <row r="922" spans="1:6" ht="12.75">
      <c r="A922" s="907"/>
      <c r="B922" s="983" t="s">
        <v>2085</v>
      </c>
      <c r="C922" s="980" t="s">
        <v>520</v>
      </c>
      <c r="D922" s="981">
        <v>2</v>
      </c>
      <c r="E922" s="1008"/>
      <c r="F922" s="1070">
        <f>D922*E922</f>
        <v>0</v>
      </c>
    </row>
    <row r="923" spans="1:6" ht="12.75">
      <c r="A923" s="907"/>
      <c r="B923" s="983"/>
      <c r="C923" s="980"/>
      <c r="D923" s="981"/>
      <c r="E923" s="1065"/>
      <c r="F923" s="936"/>
    </row>
    <row r="924" spans="1:6" ht="63.75">
      <c r="A924" s="1017">
        <f>MAX($A$63:A923)+1</f>
        <v>142</v>
      </c>
      <c r="B924" s="1035" t="s">
        <v>2202</v>
      </c>
      <c r="C924" s="980"/>
      <c r="D924" s="1139">
        <v>0.02</v>
      </c>
      <c r="E924" s="1008">
        <f>D924*SUM(F854:F922)</f>
        <v>0</v>
      </c>
      <c r="F924" s="1070">
        <f>E924</f>
        <v>0</v>
      </c>
    </row>
    <row r="925" spans="1:6" ht="12.75">
      <c r="A925" s="907"/>
      <c r="B925" s="1035"/>
      <c r="C925" s="980"/>
      <c r="D925" s="980"/>
      <c r="E925" s="1065"/>
      <c r="F925" s="936"/>
    </row>
    <row r="926" spans="1:6" ht="25.5">
      <c r="A926" s="1017">
        <f>MAX($A$63:A925)+1</f>
        <v>143</v>
      </c>
      <c r="B926" s="1035" t="s">
        <v>2203</v>
      </c>
      <c r="C926" s="980"/>
      <c r="D926" s="1139">
        <v>0.01</v>
      </c>
      <c r="E926" s="1008">
        <f>D926*SUM(F854:F923)</f>
        <v>0</v>
      </c>
      <c r="F926" s="1070">
        <f>E926</f>
        <v>0</v>
      </c>
    </row>
    <row r="927" spans="1:6" ht="12.75">
      <c r="A927" s="907"/>
      <c r="B927" s="1035"/>
      <c r="C927" s="980"/>
      <c r="D927" s="980"/>
      <c r="E927" s="1065"/>
      <c r="F927" s="936"/>
    </row>
    <row r="928" spans="1:6" ht="25.5">
      <c r="A928" s="1017">
        <f>MAX($A$63:A927)+1</f>
        <v>144</v>
      </c>
      <c r="B928" s="1035" t="s">
        <v>2204</v>
      </c>
      <c r="C928" s="980" t="s">
        <v>1313</v>
      </c>
      <c r="D928" s="980">
        <v>4</v>
      </c>
      <c r="E928" s="1008"/>
      <c r="F928" s="1070">
        <f>D928*E928</f>
        <v>0</v>
      </c>
    </row>
    <row r="929" spans="1:6" ht="12.75">
      <c r="A929" s="907"/>
      <c r="B929" s="1035"/>
      <c r="C929" s="980"/>
      <c r="D929" s="980"/>
      <c r="E929" s="1065"/>
      <c r="F929" s="936"/>
    </row>
    <row r="930" spans="1:6" ht="12.75">
      <c r="A930" s="1017">
        <f>MAX($A$63:A929)+1</f>
        <v>145</v>
      </c>
      <c r="B930" s="1035" t="s">
        <v>2298</v>
      </c>
      <c r="C930" s="980" t="s">
        <v>520</v>
      </c>
      <c r="D930" s="980">
        <v>116</v>
      </c>
      <c r="E930" s="1008"/>
      <c r="F930" s="1070">
        <f>D930*E930</f>
        <v>0</v>
      </c>
    </row>
  </sheetData>
  <sheetProtection password="EE55" sheet="1" selectLockedCells="1"/>
  <printOptions/>
  <pageMargins left="0.31496062992125984" right="0.11811023622047245" top="0.3937007874015748" bottom="0.35433070866141736" header="0.11811023622047245" footer="0.11811023622047245"/>
  <pageSetup horizontalDpi="600" verticalDpi="600" orientation="portrait" paperSize="9" r:id="rId1"/>
  <headerFooter>
    <oddHeader>&amp;L&amp;D&amp;R&amp;"Arial,Krepko"&amp;8BIRO APIS d.o.o.; Zemljemerska ul.10; 1000 Ljubljana</oddHeader>
    <oddFooter>&amp;L&amp;8&amp;F&amp;R&amp;P/&amp;N</oddFooter>
  </headerFooter>
</worksheet>
</file>

<file path=xl/worksheets/sheet6.xml><?xml version="1.0" encoding="utf-8"?>
<worksheet xmlns="http://schemas.openxmlformats.org/spreadsheetml/2006/main" xmlns:r="http://schemas.openxmlformats.org/officeDocument/2006/relationships">
  <sheetPr>
    <tabColor rgb="FF7030A0"/>
  </sheetPr>
  <dimension ref="A2:F146"/>
  <sheetViews>
    <sheetView view="pageBreakPreview" zoomScaleSheetLayoutView="100" zoomScalePageLayoutView="0" workbookViewId="0" topLeftCell="A1">
      <selection activeCell="E21" sqref="E21"/>
    </sheetView>
  </sheetViews>
  <sheetFormatPr defaultColWidth="9.140625" defaultRowHeight="12.75"/>
  <cols>
    <col min="1" max="1" width="6.8515625" style="510" customWidth="1"/>
    <col min="2" max="2" width="56.28125" style="552" customWidth="1"/>
    <col min="3" max="3" width="4.140625" style="509" customWidth="1"/>
    <col min="4" max="4" width="6.8515625" style="510" customWidth="1"/>
    <col min="5" max="5" width="10.421875" style="876" customWidth="1"/>
    <col min="6" max="6" width="12.7109375" style="510" customWidth="1"/>
    <col min="7" max="16384" width="9.140625" style="509" customWidth="1"/>
  </cols>
  <sheetData>
    <row r="2" spans="1:2" ht="23.25">
      <c r="A2" s="508" t="s">
        <v>716</v>
      </c>
      <c r="B2" s="79" t="s">
        <v>170</v>
      </c>
    </row>
    <row r="3" spans="1:4" ht="15.75">
      <c r="A3" s="511" t="s">
        <v>514</v>
      </c>
      <c r="B3" s="512" t="s">
        <v>515</v>
      </c>
      <c r="C3" s="513"/>
      <c r="D3" s="514"/>
    </row>
    <row r="4" spans="1:6" ht="15">
      <c r="A4" s="618" t="s">
        <v>34</v>
      </c>
      <c r="B4" s="656" t="s">
        <v>35</v>
      </c>
      <c r="C4" s="569" t="s">
        <v>52</v>
      </c>
      <c r="D4" s="569" t="s">
        <v>51</v>
      </c>
      <c r="E4" s="850" t="s">
        <v>113</v>
      </c>
      <c r="F4" s="569" t="s">
        <v>36</v>
      </c>
    </row>
    <row r="5" spans="1:6" ht="15">
      <c r="A5" s="519" t="s">
        <v>518</v>
      </c>
      <c r="B5" s="520" t="s">
        <v>519</v>
      </c>
      <c r="C5" s="521" t="s">
        <v>520</v>
      </c>
      <c r="D5" s="522">
        <v>2</v>
      </c>
      <c r="E5" s="877"/>
      <c r="F5" s="522">
        <f aca="true" t="shared" si="0" ref="F5:F15">+D5*E5</f>
        <v>0</v>
      </c>
    </row>
    <row r="6" spans="1:6" ht="15">
      <c r="A6" s="519" t="s">
        <v>521</v>
      </c>
      <c r="B6" s="520" t="s">
        <v>522</v>
      </c>
      <c r="C6" s="521" t="s">
        <v>748</v>
      </c>
      <c r="D6" s="522">
        <v>1</v>
      </c>
      <c r="E6" s="877"/>
      <c r="F6" s="522">
        <f t="shared" si="0"/>
        <v>0</v>
      </c>
    </row>
    <row r="7" spans="1:6" ht="30">
      <c r="A7" s="519" t="s">
        <v>523</v>
      </c>
      <c r="B7" s="520" t="s">
        <v>524</v>
      </c>
      <c r="C7" s="521" t="s">
        <v>525</v>
      </c>
      <c r="D7" s="522">
        <v>5</v>
      </c>
      <c r="E7" s="877"/>
      <c r="F7" s="522">
        <f t="shared" si="0"/>
        <v>0</v>
      </c>
    </row>
    <row r="8" spans="1:6" ht="19.5" customHeight="1">
      <c r="A8" s="519" t="s">
        <v>526</v>
      </c>
      <c r="B8" s="520" t="s">
        <v>527</v>
      </c>
      <c r="C8" s="521" t="s">
        <v>520</v>
      </c>
      <c r="D8" s="522">
        <v>1</v>
      </c>
      <c r="E8" s="877"/>
      <c r="F8" s="522">
        <f t="shared" si="0"/>
        <v>0</v>
      </c>
    </row>
    <row r="9" spans="1:6" ht="15">
      <c r="A9" s="519" t="s">
        <v>528</v>
      </c>
      <c r="B9" s="520" t="s">
        <v>529</v>
      </c>
      <c r="C9" s="521" t="s">
        <v>748</v>
      </c>
      <c r="D9" s="522">
        <v>1</v>
      </c>
      <c r="E9" s="877"/>
      <c r="F9" s="522">
        <f t="shared" si="0"/>
        <v>0</v>
      </c>
    </row>
    <row r="10" spans="1:6" ht="32.25" customHeight="1">
      <c r="A10" s="519" t="s">
        <v>530</v>
      </c>
      <c r="B10" s="520" t="s">
        <v>531</v>
      </c>
      <c r="C10" s="521" t="s">
        <v>748</v>
      </c>
      <c r="D10" s="522">
        <v>2</v>
      </c>
      <c r="E10" s="877"/>
      <c r="F10" s="522">
        <f t="shared" si="0"/>
        <v>0</v>
      </c>
    </row>
    <row r="11" spans="1:6" ht="33" customHeight="1">
      <c r="A11" s="519" t="s">
        <v>532</v>
      </c>
      <c r="B11" s="520" t="s">
        <v>533</v>
      </c>
      <c r="C11" s="521" t="s">
        <v>520</v>
      </c>
      <c r="D11" s="522">
        <v>20</v>
      </c>
      <c r="E11" s="877"/>
      <c r="F11" s="522">
        <f t="shared" si="0"/>
        <v>0</v>
      </c>
    </row>
    <row r="12" spans="1:6" ht="32.25" customHeight="1">
      <c r="A12" s="519" t="s">
        <v>534</v>
      </c>
      <c r="B12" s="520" t="s">
        <v>535</v>
      </c>
      <c r="C12" s="521" t="s">
        <v>748</v>
      </c>
      <c r="D12" s="522">
        <v>1</v>
      </c>
      <c r="E12" s="877"/>
      <c r="F12" s="522">
        <f t="shared" si="0"/>
        <v>0</v>
      </c>
    </row>
    <row r="13" spans="1:6" ht="15">
      <c r="A13" s="519" t="s">
        <v>536</v>
      </c>
      <c r="B13" s="520" t="s">
        <v>537</v>
      </c>
      <c r="C13" s="521" t="s">
        <v>538</v>
      </c>
      <c r="D13" s="522">
        <v>151</v>
      </c>
      <c r="E13" s="877"/>
      <c r="F13" s="522">
        <f t="shared" si="0"/>
        <v>0</v>
      </c>
    </row>
    <row r="14" spans="1:6" ht="30">
      <c r="A14" s="519" t="s">
        <v>539</v>
      </c>
      <c r="B14" s="520" t="s">
        <v>747</v>
      </c>
      <c r="C14" s="521" t="s">
        <v>538</v>
      </c>
      <c r="D14" s="522">
        <v>16.48</v>
      </c>
      <c r="E14" s="877"/>
      <c r="F14" s="522">
        <f t="shared" si="0"/>
        <v>0</v>
      </c>
    </row>
    <row r="15" spans="1:6" ht="30">
      <c r="A15" s="519" t="s">
        <v>540</v>
      </c>
      <c r="B15" s="520" t="s">
        <v>541</v>
      </c>
      <c r="C15" s="521" t="s">
        <v>520</v>
      </c>
      <c r="D15" s="522">
        <v>4</v>
      </c>
      <c r="E15" s="877"/>
      <c r="F15" s="522">
        <f t="shared" si="0"/>
        <v>0</v>
      </c>
    </row>
    <row r="16" spans="1:6" ht="15">
      <c r="A16" s="519"/>
      <c r="B16" s="523"/>
      <c r="D16" s="509"/>
      <c r="E16" s="878"/>
      <c r="F16" s="509"/>
    </row>
    <row r="17" spans="1:6" ht="15.75">
      <c r="A17" s="519"/>
      <c r="B17" s="553" t="s">
        <v>542</v>
      </c>
      <c r="C17" s="554"/>
      <c r="D17" s="554"/>
      <c r="E17" s="879"/>
      <c r="F17" s="524">
        <f>SUM(F5:F15)</f>
        <v>0</v>
      </c>
    </row>
    <row r="18" spans="1:6" ht="15.75">
      <c r="A18" s="525"/>
      <c r="B18" s="526"/>
      <c r="C18" s="527"/>
      <c r="D18" s="528"/>
      <c r="E18" s="880"/>
      <c r="F18" s="529"/>
    </row>
    <row r="19" spans="1:4" ht="15.75">
      <c r="A19" s="511" t="s">
        <v>543</v>
      </c>
      <c r="B19" s="512" t="s">
        <v>544</v>
      </c>
      <c r="C19" s="527"/>
      <c r="D19" s="528"/>
    </row>
    <row r="20" spans="1:6" ht="15">
      <c r="A20" s="515" t="s">
        <v>516</v>
      </c>
      <c r="B20" s="516" t="s">
        <v>517</v>
      </c>
      <c r="C20" s="517" t="s">
        <v>711</v>
      </c>
      <c r="D20" s="518" t="s">
        <v>712</v>
      </c>
      <c r="E20" s="881" t="s">
        <v>713</v>
      </c>
      <c r="F20" s="518" t="s">
        <v>714</v>
      </c>
    </row>
    <row r="21" spans="1:6" ht="15">
      <c r="A21" s="519" t="s">
        <v>545</v>
      </c>
      <c r="B21" s="523" t="s">
        <v>546</v>
      </c>
      <c r="C21" s="521" t="s">
        <v>520</v>
      </c>
      <c r="D21" s="522">
        <v>5</v>
      </c>
      <c r="E21" s="877"/>
      <c r="F21" s="522">
        <f aca="true" t="shared" si="1" ref="F21:F33">+D21*E21</f>
        <v>0</v>
      </c>
    </row>
    <row r="22" spans="1:6" ht="15">
      <c r="A22" s="519" t="s">
        <v>547</v>
      </c>
      <c r="B22" s="523" t="s">
        <v>548</v>
      </c>
      <c r="C22" s="521" t="s">
        <v>520</v>
      </c>
      <c r="D22" s="522">
        <v>2</v>
      </c>
      <c r="E22" s="877"/>
      <c r="F22" s="522">
        <f t="shared" si="1"/>
        <v>0</v>
      </c>
    </row>
    <row r="23" spans="1:6" ht="15">
      <c r="A23" s="519" t="s">
        <v>549</v>
      </c>
      <c r="B23" s="523" t="s">
        <v>550</v>
      </c>
      <c r="C23" s="521" t="s">
        <v>520</v>
      </c>
      <c r="D23" s="522">
        <v>5</v>
      </c>
      <c r="E23" s="877"/>
      <c r="F23" s="522">
        <f t="shared" si="1"/>
        <v>0</v>
      </c>
    </row>
    <row r="24" spans="1:6" ht="15">
      <c r="A24" s="519" t="s">
        <v>551</v>
      </c>
      <c r="B24" s="523" t="s">
        <v>552</v>
      </c>
      <c r="C24" s="521" t="s">
        <v>520</v>
      </c>
      <c r="D24" s="522">
        <v>5</v>
      </c>
      <c r="E24" s="877"/>
      <c r="F24" s="522">
        <f t="shared" si="1"/>
        <v>0</v>
      </c>
    </row>
    <row r="25" spans="1:6" ht="52.5" customHeight="1">
      <c r="A25" s="519" t="s">
        <v>553</v>
      </c>
      <c r="B25" s="523" t="s">
        <v>554</v>
      </c>
      <c r="C25" s="521" t="s">
        <v>748</v>
      </c>
      <c r="D25" s="522">
        <v>1</v>
      </c>
      <c r="E25" s="877"/>
      <c r="F25" s="522">
        <f t="shared" si="1"/>
        <v>0</v>
      </c>
    </row>
    <row r="26" spans="1:6" ht="15">
      <c r="A26" s="519" t="s">
        <v>555</v>
      </c>
      <c r="B26" s="523" t="s">
        <v>556</v>
      </c>
      <c r="C26" s="521" t="s">
        <v>520</v>
      </c>
      <c r="D26" s="522">
        <v>1</v>
      </c>
      <c r="E26" s="877"/>
      <c r="F26" s="522">
        <f t="shared" si="1"/>
        <v>0</v>
      </c>
    </row>
    <row r="27" spans="1:6" ht="15">
      <c r="A27" s="519" t="s">
        <v>557</v>
      </c>
      <c r="B27" s="523" t="s">
        <v>558</v>
      </c>
      <c r="C27" s="521" t="s">
        <v>520</v>
      </c>
      <c r="D27" s="522">
        <v>2</v>
      </c>
      <c r="E27" s="877"/>
      <c r="F27" s="522">
        <f t="shared" si="1"/>
        <v>0</v>
      </c>
    </row>
    <row r="28" spans="1:6" ht="15">
      <c r="A28" s="519" t="s">
        <v>559</v>
      </c>
      <c r="B28" s="523" t="s">
        <v>749</v>
      </c>
      <c r="C28" s="521" t="s">
        <v>520</v>
      </c>
      <c r="D28" s="522">
        <v>2</v>
      </c>
      <c r="E28" s="877"/>
      <c r="F28" s="522">
        <f t="shared" si="1"/>
        <v>0</v>
      </c>
    </row>
    <row r="29" spans="1:6" ht="15">
      <c r="A29" s="519" t="s">
        <v>560</v>
      </c>
      <c r="B29" s="523" t="s">
        <v>561</v>
      </c>
      <c r="C29" s="521" t="s">
        <v>520</v>
      </c>
      <c r="D29" s="522">
        <v>1</v>
      </c>
      <c r="E29" s="877"/>
      <c r="F29" s="522">
        <f t="shared" si="1"/>
        <v>0</v>
      </c>
    </row>
    <row r="30" spans="1:6" ht="15">
      <c r="A30" s="519" t="s">
        <v>562</v>
      </c>
      <c r="B30" s="523" t="s">
        <v>563</v>
      </c>
      <c r="C30" s="521" t="s">
        <v>520</v>
      </c>
      <c r="D30" s="522">
        <v>1</v>
      </c>
      <c r="E30" s="877"/>
      <c r="F30" s="522">
        <f t="shared" si="1"/>
        <v>0</v>
      </c>
    </row>
    <row r="31" spans="1:6" ht="25.5">
      <c r="A31" s="519" t="s">
        <v>564</v>
      </c>
      <c r="B31" s="523" t="s">
        <v>565</v>
      </c>
      <c r="C31" s="521" t="s">
        <v>520</v>
      </c>
      <c r="D31" s="522">
        <v>5</v>
      </c>
      <c r="E31" s="877"/>
      <c r="F31" s="522">
        <f t="shared" si="1"/>
        <v>0</v>
      </c>
    </row>
    <row r="32" spans="1:6" ht="25.5">
      <c r="A32" s="519" t="s">
        <v>566</v>
      </c>
      <c r="B32" s="523" t="s">
        <v>567</v>
      </c>
      <c r="C32" s="521" t="s">
        <v>520</v>
      </c>
      <c r="D32" s="522">
        <v>4</v>
      </c>
      <c r="E32" s="877"/>
      <c r="F32" s="522">
        <f t="shared" si="1"/>
        <v>0</v>
      </c>
    </row>
    <row r="33" spans="1:6" ht="39.75">
      <c r="A33" s="519" t="s">
        <v>568</v>
      </c>
      <c r="B33" s="523" t="s">
        <v>715</v>
      </c>
      <c r="C33" s="521" t="s">
        <v>520</v>
      </c>
      <c r="D33" s="522">
        <v>1</v>
      </c>
      <c r="E33" s="877"/>
      <c r="F33" s="522">
        <f t="shared" si="1"/>
        <v>0</v>
      </c>
    </row>
    <row r="34" spans="1:6" ht="15">
      <c r="A34" s="519"/>
      <c r="B34" s="558" t="s">
        <v>1287</v>
      </c>
      <c r="C34" s="521"/>
      <c r="D34" s="522"/>
      <c r="E34" s="882"/>
      <c r="F34" s="522"/>
    </row>
    <row r="35" spans="1:6" ht="76.5">
      <c r="A35" s="519"/>
      <c r="B35" s="407" t="s">
        <v>1262</v>
      </c>
      <c r="C35" s="521"/>
      <c r="D35" s="522"/>
      <c r="E35" s="882"/>
      <c r="F35" s="522"/>
    </row>
    <row r="36" spans="1:6" ht="17.25" customHeight="1">
      <c r="A36" s="519"/>
      <c r="B36" s="559" t="s">
        <v>1263</v>
      </c>
      <c r="C36" s="521" t="s">
        <v>183</v>
      </c>
      <c r="D36" s="522">
        <v>1</v>
      </c>
      <c r="E36" s="877"/>
      <c r="F36" s="522">
        <f>+D36*E36</f>
        <v>0</v>
      </c>
    </row>
    <row r="37" spans="1:6" ht="16.5" customHeight="1">
      <c r="A37" s="519"/>
      <c r="B37" s="559" t="s">
        <v>1264</v>
      </c>
      <c r="C37" s="521" t="s">
        <v>183</v>
      </c>
      <c r="D37" s="522">
        <v>1</v>
      </c>
      <c r="E37" s="877"/>
      <c r="F37" s="522">
        <f>+D37*E37</f>
        <v>0</v>
      </c>
    </row>
    <row r="38" spans="1:6" ht="15.75" customHeight="1">
      <c r="A38" s="519"/>
      <c r="B38" s="559" t="s">
        <v>1265</v>
      </c>
      <c r="C38" s="521" t="s">
        <v>183</v>
      </c>
      <c r="D38" s="522">
        <v>1</v>
      </c>
      <c r="E38" s="877"/>
      <c r="F38" s="522">
        <f>+D38*E38</f>
        <v>0</v>
      </c>
    </row>
    <row r="39" spans="1:6" ht="25.5">
      <c r="A39" s="519" t="s">
        <v>569</v>
      </c>
      <c r="B39" s="523" t="s">
        <v>570</v>
      </c>
      <c r="C39" s="521"/>
      <c r="D39" s="522"/>
      <c r="E39" s="882"/>
      <c r="F39" s="522"/>
    </row>
    <row r="40" spans="1:6" ht="15">
      <c r="A40" s="519"/>
      <c r="B40" s="523"/>
      <c r="C40" s="521" t="s">
        <v>520</v>
      </c>
      <c r="D40" s="522">
        <v>1</v>
      </c>
      <c r="E40" s="877"/>
      <c r="F40" s="522">
        <f>+D40*E40</f>
        <v>0</v>
      </c>
    </row>
    <row r="41" spans="1:6" ht="15.75">
      <c r="A41" s="560"/>
      <c r="B41" s="553" t="s">
        <v>1656</v>
      </c>
      <c r="C41" s="554"/>
      <c r="D41" s="554"/>
      <c r="E41" s="879"/>
      <c r="F41" s="524">
        <f>SUM(F21:F40)</f>
        <v>0</v>
      </c>
    </row>
    <row r="42" spans="1:6" ht="12.75">
      <c r="A42" s="530"/>
      <c r="B42" s="531"/>
      <c r="C42" s="532"/>
      <c r="D42" s="533"/>
      <c r="E42" s="883"/>
      <c r="F42" s="533"/>
    </row>
    <row r="43" spans="1:4" ht="15.75">
      <c r="A43" s="511" t="s">
        <v>571</v>
      </c>
      <c r="B43" s="512" t="s">
        <v>572</v>
      </c>
      <c r="C43" s="527"/>
      <c r="D43" s="528"/>
    </row>
    <row r="44" spans="1:6" ht="15">
      <c r="A44" s="515" t="s">
        <v>516</v>
      </c>
      <c r="B44" s="516" t="s">
        <v>517</v>
      </c>
      <c r="C44" s="517" t="s">
        <v>711</v>
      </c>
      <c r="D44" s="518" t="s">
        <v>712</v>
      </c>
      <c r="E44" s="881" t="s">
        <v>713</v>
      </c>
      <c r="F44" s="518" t="s">
        <v>714</v>
      </c>
    </row>
    <row r="45" spans="1:6" ht="15">
      <c r="A45" s="519" t="s">
        <v>573</v>
      </c>
      <c r="B45" s="523" t="s">
        <v>574</v>
      </c>
      <c r="C45" s="521" t="s">
        <v>520</v>
      </c>
      <c r="D45" s="522">
        <v>18</v>
      </c>
      <c r="E45" s="877"/>
      <c r="F45" s="522">
        <f>+D45*E45</f>
        <v>0</v>
      </c>
    </row>
    <row r="46" spans="1:6" ht="25.5">
      <c r="A46" s="519" t="s">
        <v>575</v>
      </c>
      <c r="B46" s="523" t="s">
        <v>576</v>
      </c>
      <c r="C46" s="521" t="s">
        <v>520</v>
      </c>
      <c r="D46" s="522">
        <v>2</v>
      </c>
      <c r="E46" s="877"/>
      <c r="F46" s="522">
        <f>+D46*E46</f>
        <v>0</v>
      </c>
    </row>
    <row r="47" spans="1:6" ht="15">
      <c r="A47" s="519" t="s">
        <v>577</v>
      </c>
      <c r="B47" s="523" t="s">
        <v>578</v>
      </c>
      <c r="C47" s="521" t="s">
        <v>520</v>
      </c>
      <c r="D47" s="522">
        <v>12</v>
      </c>
      <c r="E47" s="877"/>
      <c r="F47" s="522">
        <f aca="true" t="shared" si="2" ref="F47:F69">+D47*E47</f>
        <v>0</v>
      </c>
    </row>
    <row r="48" spans="1:6" ht="15">
      <c r="A48" s="519" t="s">
        <v>579</v>
      </c>
      <c r="B48" s="523" t="s">
        <v>580</v>
      </c>
      <c r="C48" s="521" t="s">
        <v>520</v>
      </c>
      <c r="D48" s="522">
        <v>2</v>
      </c>
      <c r="E48" s="877"/>
      <c r="F48" s="522">
        <f t="shared" si="2"/>
        <v>0</v>
      </c>
    </row>
    <row r="49" spans="1:6" ht="15">
      <c r="A49" s="519" t="s">
        <v>581</v>
      </c>
      <c r="B49" s="523" t="s">
        <v>582</v>
      </c>
      <c r="C49" s="521" t="s">
        <v>520</v>
      </c>
      <c r="D49" s="522">
        <v>2</v>
      </c>
      <c r="E49" s="877"/>
      <c r="F49" s="522">
        <f t="shared" si="2"/>
        <v>0</v>
      </c>
    </row>
    <row r="50" spans="1:6" ht="15">
      <c r="A50" s="519" t="s">
        <v>583</v>
      </c>
      <c r="B50" s="523" t="s">
        <v>584</v>
      </c>
      <c r="C50" s="521" t="s">
        <v>520</v>
      </c>
      <c r="D50" s="522">
        <v>1</v>
      </c>
      <c r="E50" s="877"/>
      <c r="F50" s="522">
        <f t="shared" si="2"/>
        <v>0</v>
      </c>
    </row>
    <row r="51" spans="1:6" ht="15">
      <c r="A51" s="519" t="s">
        <v>585</v>
      </c>
      <c r="B51" s="523" t="s">
        <v>586</v>
      </c>
      <c r="C51" s="521" t="s">
        <v>520</v>
      </c>
      <c r="D51" s="522">
        <v>2</v>
      </c>
      <c r="E51" s="877"/>
      <c r="F51" s="522">
        <f t="shared" si="2"/>
        <v>0</v>
      </c>
    </row>
    <row r="52" spans="1:6" ht="25.5">
      <c r="A52" s="519" t="s">
        <v>587</v>
      </c>
      <c r="B52" s="523" t="s">
        <v>588</v>
      </c>
      <c r="C52" s="521" t="s">
        <v>520</v>
      </c>
      <c r="D52" s="522">
        <v>18</v>
      </c>
      <c r="E52" s="877"/>
      <c r="F52" s="522">
        <f>+D52*E52</f>
        <v>0</v>
      </c>
    </row>
    <row r="53" spans="1:6" ht="15">
      <c r="A53" s="519" t="s">
        <v>589</v>
      </c>
      <c r="B53" s="523" t="s">
        <v>590</v>
      </c>
      <c r="C53" s="521" t="s">
        <v>520</v>
      </c>
      <c r="D53" s="522">
        <v>30</v>
      </c>
      <c r="E53" s="877"/>
      <c r="F53" s="522">
        <f t="shared" si="2"/>
        <v>0</v>
      </c>
    </row>
    <row r="54" spans="1:6" ht="15">
      <c r="A54" s="519" t="s">
        <v>591</v>
      </c>
      <c r="B54" s="523" t="s">
        <v>592</v>
      </c>
      <c r="C54" s="521" t="s">
        <v>520</v>
      </c>
      <c r="D54" s="522">
        <v>8</v>
      </c>
      <c r="E54" s="877"/>
      <c r="F54" s="522">
        <f t="shared" si="2"/>
        <v>0</v>
      </c>
    </row>
    <row r="55" spans="1:6" ht="15">
      <c r="A55" s="519" t="s">
        <v>593</v>
      </c>
      <c r="B55" s="523" t="s">
        <v>594</v>
      </c>
      <c r="C55" s="521" t="s">
        <v>748</v>
      </c>
      <c r="D55" s="522">
        <v>1</v>
      </c>
      <c r="E55" s="877"/>
      <c r="F55" s="522">
        <f t="shared" si="2"/>
        <v>0</v>
      </c>
    </row>
    <row r="56" spans="1:6" ht="15">
      <c r="A56" s="519" t="s">
        <v>595</v>
      </c>
      <c r="B56" s="523" t="s">
        <v>596</v>
      </c>
      <c r="C56" s="521" t="s">
        <v>748</v>
      </c>
      <c r="D56" s="522">
        <v>1</v>
      </c>
      <c r="E56" s="877"/>
      <c r="F56" s="522">
        <f t="shared" si="2"/>
        <v>0</v>
      </c>
    </row>
    <row r="57" spans="1:6" ht="15">
      <c r="A57" s="519" t="s">
        <v>597</v>
      </c>
      <c r="B57" s="523" t="s">
        <v>598</v>
      </c>
      <c r="C57" s="521" t="s">
        <v>520</v>
      </c>
      <c r="D57" s="522">
        <v>1</v>
      </c>
      <c r="E57" s="877"/>
      <c r="F57" s="522">
        <f t="shared" si="2"/>
        <v>0</v>
      </c>
    </row>
    <row r="58" spans="1:6" ht="25.5">
      <c r="A58" s="519" t="s">
        <v>599</v>
      </c>
      <c r="B58" s="523" t="s">
        <v>600</v>
      </c>
      <c r="C58" s="521" t="s">
        <v>520</v>
      </c>
      <c r="D58" s="522">
        <v>1</v>
      </c>
      <c r="E58" s="877"/>
      <c r="F58" s="522">
        <f>+D58*E58</f>
        <v>0</v>
      </c>
    </row>
    <row r="59" spans="1:6" ht="15">
      <c r="A59" s="519" t="s">
        <v>601</v>
      </c>
      <c r="B59" s="523" t="s">
        <v>602</v>
      </c>
      <c r="C59" s="521" t="s">
        <v>520</v>
      </c>
      <c r="D59" s="522">
        <v>1</v>
      </c>
      <c r="E59" s="877"/>
      <c r="F59" s="522">
        <f t="shared" si="2"/>
        <v>0</v>
      </c>
    </row>
    <row r="60" spans="1:6" ht="15">
      <c r="A60" s="519" t="s">
        <v>603</v>
      </c>
      <c r="B60" s="523" t="s">
        <v>604</v>
      </c>
      <c r="C60" s="521" t="s">
        <v>520</v>
      </c>
      <c r="D60" s="522">
        <v>2</v>
      </c>
      <c r="E60" s="877"/>
      <c r="F60" s="522">
        <f t="shared" si="2"/>
        <v>0</v>
      </c>
    </row>
    <row r="61" spans="1:6" ht="15">
      <c r="A61" s="519" t="s">
        <v>605</v>
      </c>
      <c r="B61" s="523" t="s">
        <v>606</v>
      </c>
      <c r="C61" s="521" t="s">
        <v>520</v>
      </c>
      <c r="D61" s="522">
        <v>4</v>
      </c>
      <c r="E61" s="877"/>
      <c r="F61" s="522">
        <f t="shared" si="2"/>
        <v>0</v>
      </c>
    </row>
    <row r="62" spans="1:6" ht="15">
      <c r="A62" s="519" t="s">
        <v>607</v>
      </c>
      <c r="B62" s="523" t="s">
        <v>608</v>
      </c>
      <c r="C62" s="521" t="s">
        <v>520</v>
      </c>
      <c r="D62" s="522">
        <v>2</v>
      </c>
      <c r="E62" s="877"/>
      <c r="F62" s="522">
        <f t="shared" si="2"/>
        <v>0</v>
      </c>
    </row>
    <row r="63" spans="1:6" ht="25.5">
      <c r="A63" s="519" t="s">
        <v>609</v>
      </c>
      <c r="B63" s="523" t="s">
        <v>610</v>
      </c>
      <c r="C63" s="521" t="s">
        <v>520</v>
      </c>
      <c r="D63" s="522">
        <v>2</v>
      </c>
      <c r="E63" s="877"/>
      <c r="F63" s="522">
        <f>+D63*E63</f>
        <v>0</v>
      </c>
    </row>
    <row r="64" spans="1:6" ht="18" customHeight="1">
      <c r="A64" s="519" t="s">
        <v>611</v>
      </c>
      <c r="B64" s="523" t="s">
        <v>612</v>
      </c>
      <c r="C64" s="521" t="s">
        <v>520</v>
      </c>
      <c r="D64" s="522">
        <v>4</v>
      </c>
      <c r="E64" s="877"/>
      <c r="F64" s="522">
        <f>+D64*E64</f>
        <v>0</v>
      </c>
    </row>
    <row r="65" spans="1:6" ht="15">
      <c r="A65" s="519" t="s">
        <v>613</v>
      </c>
      <c r="B65" s="523" t="s">
        <v>614</v>
      </c>
      <c r="C65" s="521" t="s">
        <v>520</v>
      </c>
      <c r="D65" s="522">
        <v>4</v>
      </c>
      <c r="E65" s="877"/>
      <c r="F65" s="522">
        <f t="shared" si="2"/>
        <v>0</v>
      </c>
    </row>
    <row r="66" spans="1:6" ht="15">
      <c r="A66" s="519" t="s">
        <v>615</v>
      </c>
      <c r="B66" s="523" t="s">
        <v>616</v>
      </c>
      <c r="C66" s="521" t="s">
        <v>520</v>
      </c>
      <c r="D66" s="522">
        <v>2</v>
      </c>
      <c r="E66" s="877"/>
      <c r="F66" s="522">
        <f t="shared" si="2"/>
        <v>0</v>
      </c>
    </row>
    <row r="67" spans="1:6" ht="15">
      <c r="A67" s="519" t="s">
        <v>617</v>
      </c>
      <c r="B67" s="523" t="s">
        <v>618</v>
      </c>
      <c r="C67" s="521" t="s">
        <v>748</v>
      </c>
      <c r="D67" s="522">
        <v>1</v>
      </c>
      <c r="E67" s="877"/>
      <c r="F67" s="522">
        <f t="shared" si="2"/>
        <v>0</v>
      </c>
    </row>
    <row r="68" spans="1:6" ht="38.25">
      <c r="A68" s="519" t="s">
        <v>619</v>
      </c>
      <c r="B68" s="523" t="s">
        <v>620</v>
      </c>
      <c r="C68" s="521"/>
      <c r="D68" s="522"/>
      <c r="E68" s="882"/>
      <c r="F68" s="522"/>
    </row>
    <row r="69" spans="1:6" ht="15">
      <c r="A69" s="519"/>
      <c r="B69" s="523"/>
      <c r="C69" s="521" t="s">
        <v>748</v>
      </c>
      <c r="D69" s="522">
        <v>1</v>
      </c>
      <c r="E69" s="877"/>
      <c r="F69" s="522">
        <f t="shared" si="2"/>
        <v>0</v>
      </c>
    </row>
    <row r="70" spans="1:6" ht="15.75">
      <c r="A70" s="519"/>
      <c r="B70" s="553" t="s">
        <v>621</v>
      </c>
      <c r="C70" s="554"/>
      <c r="D70" s="554"/>
      <c r="E70" s="879"/>
      <c r="F70" s="524">
        <f>SUM(F45:F69)</f>
        <v>0</v>
      </c>
    </row>
    <row r="71" spans="1:6" ht="15.75">
      <c r="A71" s="525"/>
      <c r="B71" s="526"/>
      <c r="C71" s="527"/>
      <c r="D71" s="528"/>
      <c r="E71" s="880"/>
      <c r="F71" s="529"/>
    </row>
    <row r="72" spans="1:4" ht="15.75">
      <c r="A72" s="511" t="s">
        <v>622</v>
      </c>
      <c r="B72" s="512" t="s">
        <v>623</v>
      </c>
      <c r="C72" s="527"/>
      <c r="D72" s="528"/>
    </row>
    <row r="73" spans="1:6" ht="15">
      <c r="A73" s="515" t="s">
        <v>516</v>
      </c>
      <c r="B73" s="516" t="s">
        <v>517</v>
      </c>
      <c r="C73" s="517" t="s">
        <v>711</v>
      </c>
      <c r="D73" s="518" t="s">
        <v>712</v>
      </c>
      <c r="E73" s="881" t="s">
        <v>713</v>
      </c>
      <c r="F73" s="518" t="s">
        <v>714</v>
      </c>
    </row>
    <row r="74" spans="1:6" ht="15">
      <c r="A74" s="519" t="s">
        <v>624</v>
      </c>
      <c r="B74" s="523" t="s">
        <v>625</v>
      </c>
      <c r="C74" s="521" t="s">
        <v>520</v>
      </c>
      <c r="D74" s="522">
        <v>2</v>
      </c>
      <c r="E74" s="877"/>
      <c r="F74" s="522">
        <f>+D74*E74</f>
        <v>0</v>
      </c>
    </row>
    <row r="75" spans="1:6" ht="15">
      <c r="A75" s="519" t="s">
        <v>626</v>
      </c>
      <c r="B75" s="523" t="s">
        <v>627</v>
      </c>
      <c r="C75" s="521" t="s">
        <v>520</v>
      </c>
      <c r="D75" s="522">
        <v>18</v>
      </c>
      <c r="E75" s="877"/>
      <c r="F75" s="522">
        <f aca="true" t="shared" si="3" ref="F75:F112">+D75*E75</f>
        <v>0</v>
      </c>
    </row>
    <row r="76" spans="1:6" ht="15">
      <c r="A76" s="519" t="s">
        <v>628</v>
      </c>
      <c r="B76" s="523" t="s">
        <v>629</v>
      </c>
      <c r="C76" s="521" t="s">
        <v>520</v>
      </c>
      <c r="D76" s="522">
        <v>2</v>
      </c>
      <c r="E76" s="877"/>
      <c r="F76" s="522">
        <f t="shared" si="3"/>
        <v>0</v>
      </c>
    </row>
    <row r="77" spans="1:6" ht="15">
      <c r="A77" s="519" t="s">
        <v>630</v>
      </c>
      <c r="B77" s="523" t="s">
        <v>631</v>
      </c>
      <c r="C77" s="521" t="s">
        <v>520</v>
      </c>
      <c r="D77" s="522">
        <v>2</v>
      </c>
      <c r="E77" s="877"/>
      <c r="F77" s="522">
        <f t="shared" si="3"/>
        <v>0</v>
      </c>
    </row>
    <row r="78" spans="1:6" ht="15">
      <c r="A78" s="519" t="s">
        <v>632</v>
      </c>
      <c r="B78" s="523" t="s">
        <v>633</v>
      </c>
      <c r="C78" s="521" t="s">
        <v>520</v>
      </c>
      <c r="D78" s="522">
        <v>20</v>
      </c>
      <c r="E78" s="877"/>
      <c r="F78" s="522">
        <f t="shared" si="3"/>
        <v>0</v>
      </c>
    </row>
    <row r="79" spans="1:6" ht="25.5">
      <c r="A79" s="519" t="s">
        <v>634</v>
      </c>
      <c r="B79" s="523" t="s">
        <v>635</v>
      </c>
      <c r="C79" s="521" t="s">
        <v>520</v>
      </c>
      <c r="D79" s="522">
        <v>1</v>
      </c>
      <c r="E79" s="877"/>
      <c r="F79" s="522">
        <f>+D79*E79</f>
        <v>0</v>
      </c>
    </row>
    <row r="80" spans="1:6" ht="15">
      <c r="A80" s="519" t="s">
        <v>636</v>
      </c>
      <c r="B80" s="523" t="s">
        <v>637</v>
      </c>
      <c r="C80" s="521" t="s">
        <v>520</v>
      </c>
      <c r="D80" s="522">
        <v>1</v>
      </c>
      <c r="E80" s="877"/>
      <c r="F80" s="522">
        <f t="shared" si="3"/>
        <v>0</v>
      </c>
    </row>
    <row r="81" spans="1:6" ht="15">
      <c r="A81" s="519" t="s">
        <v>638</v>
      </c>
      <c r="B81" s="523" t="s">
        <v>639</v>
      </c>
      <c r="C81" s="521" t="s">
        <v>520</v>
      </c>
      <c r="D81" s="522">
        <v>33</v>
      </c>
      <c r="E81" s="877"/>
      <c r="F81" s="522">
        <f t="shared" si="3"/>
        <v>0</v>
      </c>
    </row>
    <row r="82" spans="1:6" ht="15">
      <c r="A82" s="519" t="s">
        <v>640</v>
      </c>
      <c r="B82" s="523" t="s">
        <v>641</v>
      </c>
      <c r="C82" s="521" t="s">
        <v>748</v>
      </c>
      <c r="D82" s="522">
        <v>2</v>
      </c>
      <c r="E82" s="877"/>
      <c r="F82" s="522">
        <f t="shared" si="3"/>
        <v>0</v>
      </c>
    </row>
    <row r="83" spans="1:6" ht="15">
      <c r="A83" s="519" t="s">
        <v>642</v>
      </c>
      <c r="B83" s="523" t="s">
        <v>643</v>
      </c>
      <c r="C83" s="521" t="s">
        <v>520</v>
      </c>
      <c r="D83" s="522">
        <v>1</v>
      </c>
      <c r="E83" s="877"/>
      <c r="F83" s="522">
        <f t="shared" si="3"/>
        <v>0</v>
      </c>
    </row>
    <row r="84" spans="1:6" ht="15">
      <c r="A84" s="519" t="s">
        <v>644</v>
      </c>
      <c r="B84" s="534" t="s">
        <v>645</v>
      </c>
      <c r="C84" s="555"/>
      <c r="D84" s="556"/>
      <c r="E84" s="884"/>
      <c r="F84" s="557"/>
    </row>
    <row r="85" spans="1:6" ht="15">
      <c r="A85" s="519"/>
      <c r="B85" s="523" t="s">
        <v>646</v>
      </c>
      <c r="C85" s="521" t="s">
        <v>520</v>
      </c>
      <c r="D85" s="522">
        <v>18</v>
      </c>
      <c r="E85" s="877"/>
      <c r="F85" s="522">
        <f t="shared" si="3"/>
        <v>0</v>
      </c>
    </row>
    <row r="86" spans="1:6" ht="15">
      <c r="A86" s="519"/>
      <c r="B86" s="523" t="s">
        <v>647</v>
      </c>
      <c r="C86" s="521" t="s">
        <v>520</v>
      </c>
      <c r="D86" s="522">
        <v>1</v>
      </c>
      <c r="E86" s="877"/>
      <c r="F86" s="522">
        <f t="shared" si="3"/>
        <v>0</v>
      </c>
    </row>
    <row r="87" spans="1:6" ht="15">
      <c r="A87" s="519"/>
      <c r="B87" s="523" t="s">
        <v>648</v>
      </c>
      <c r="C87" s="521" t="s">
        <v>520</v>
      </c>
      <c r="D87" s="522">
        <v>1</v>
      </c>
      <c r="E87" s="877"/>
      <c r="F87" s="522">
        <f t="shared" si="3"/>
        <v>0</v>
      </c>
    </row>
    <row r="88" spans="1:6" ht="15">
      <c r="A88" s="519"/>
      <c r="B88" s="523" t="s">
        <v>649</v>
      </c>
      <c r="C88" s="521" t="s">
        <v>650</v>
      </c>
      <c r="D88" s="522">
        <v>165</v>
      </c>
      <c r="E88" s="877"/>
      <c r="F88" s="522">
        <f t="shared" si="3"/>
        <v>0</v>
      </c>
    </row>
    <row r="89" spans="1:6" ht="15">
      <c r="A89" s="519"/>
      <c r="B89" s="523" t="s">
        <v>651</v>
      </c>
      <c r="C89" s="521" t="s">
        <v>650</v>
      </c>
      <c r="D89" s="522">
        <v>18</v>
      </c>
      <c r="E89" s="877"/>
      <c r="F89" s="522">
        <f t="shared" si="3"/>
        <v>0</v>
      </c>
    </row>
    <row r="90" spans="1:6" ht="15">
      <c r="A90" s="519"/>
      <c r="B90" s="523" t="s">
        <v>652</v>
      </c>
      <c r="C90" s="521" t="s">
        <v>520</v>
      </c>
      <c r="D90" s="522">
        <v>200</v>
      </c>
      <c r="E90" s="877"/>
      <c r="F90" s="522">
        <f t="shared" si="3"/>
        <v>0</v>
      </c>
    </row>
    <row r="91" spans="1:6" ht="15">
      <c r="A91" s="519"/>
      <c r="B91" s="523" t="s">
        <v>653</v>
      </c>
      <c r="C91" s="521" t="s">
        <v>520</v>
      </c>
      <c r="D91" s="522">
        <v>20</v>
      </c>
      <c r="E91" s="877"/>
      <c r="F91" s="522">
        <f t="shared" si="3"/>
        <v>0</v>
      </c>
    </row>
    <row r="92" spans="1:6" ht="15">
      <c r="A92" s="519"/>
      <c r="B92" s="523" t="s">
        <v>654</v>
      </c>
      <c r="C92" s="521" t="s">
        <v>748</v>
      </c>
      <c r="D92" s="522">
        <v>1</v>
      </c>
      <c r="E92" s="877"/>
      <c r="F92" s="522">
        <f t="shared" si="3"/>
        <v>0</v>
      </c>
    </row>
    <row r="93" spans="1:6" ht="15">
      <c r="A93" s="519"/>
      <c r="B93" s="523" t="s">
        <v>655</v>
      </c>
      <c r="C93" s="521" t="s">
        <v>748</v>
      </c>
      <c r="D93" s="522">
        <v>1</v>
      </c>
      <c r="E93" s="877"/>
      <c r="F93" s="522">
        <f t="shared" si="3"/>
        <v>0</v>
      </c>
    </row>
    <row r="94" spans="1:6" ht="15">
      <c r="A94" s="519"/>
      <c r="B94" s="523" t="s">
        <v>656</v>
      </c>
      <c r="C94" s="521" t="s">
        <v>748</v>
      </c>
      <c r="D94" s="522">
        <v>1</v>
      </c>
      <c r="E94" s="877"/>
      <c r="F94" s="522">
        <f t="shared" si="3"/>
        <v>0</v>
      </c>
    </row>
    <row r="95" spans="1:6" ht="15">
      <c r="A95" s="519" t="s">
        <v>657</v>
      </c>
      <c r="B95" s="523" t="s">
        <v>658</v>
      </c>
      <c r="C95" s="521" t="s">
        <v>748</v>
      </c>
      <c r="D95" s="522">
        <v>1</v>
      </c>
      <c r="E95" s="877"/>
      <c r="F95" s="522">
        <f t="shared" si="3"/>
        <v>0</v>
      </c>
    </row>
    <row r="96" spans="1:6" ht="15">
      <c r="A96" s="519" t="s">
        <v>659</v>
      </c>
      <c r="B96" s="534" t="s">
        <v>660</v>
      </c>
      <c r="C96" s="555"/>
      <c r="D96" s="556"/>
      <c r="E96" s="884"/>
      <c r="F96" s="557"/>
    </row>
    <row r="97" spans="1:6" ht="15">
      <c r="A97" s="519"/>
      <c r="B97" s="523" t="s">
        <v>661</v>
      </c>
      <c r="C97" s="521" t="s">
        <v>520</v>
      </c>
      <c r="D97" s="522">
        <v>20</v>
      </c>
      <c r="E97" s="877"/>
      <c r="F97" s="522">
        <f t="shared" si="3"/>
        <v>0</v>
      </c>
    </row>
    <row r="98" spans="1:6" ht="15">
      <c r="A98" s="519"/>
      <c r="B98" s="523" t="s">
        <v>662</v>
      </c>
      <c r="C98" s="521" t="s">
        <v>520</v>
      </c>
      <c r="D98" s="522">
        <v>12</v>
      </c>
      <c r="E98" s="877"/>
      <c r="F98" s="522">
        <f t="shared" si="3"/>
        <v>0</v>
      </c>
    </row>
    <row r="99" spans="1:6" ht="15">
      <c r="A99" s="519"/>
      <c r="B99" s="523" t="s">
        <v>663</v>
      </c>
      <c r="C99" s="521" t="s">
        <v>520</v>
      </c>
      <c r="D99" s="522">
        <v>4</v>
      </c>
      <c r="E99" s="877"/>
      <c r="F99" s="522">
        <f t="shared" si="3"/>
        <v>0</v>
      </c>
    </row>
    <row r="100" spans="1:6" ht="15">
      <c r="A100" s="519"/>
      <c r="B100" s="523" t="s">
        <v>664</v>
      </c>
      <c r="C100" s="521" t="s">
        <v>520</v>
      </c>
      <c r="D100" s="522">
        <v>8</v>
      </c>
      <c r="E100" s="877"/>
      <c r="F100" s="522">
        <f t="shared" si="3"/>
        <v>0</v>
      </c>
    </row>
    <row r="101" spans="1:6" ht="15">
      <c r="A101" s="519"/>
      <c r="B101" s="523" t="s">
        <v>665</v>
      </c>
      <c r="C101" s="521" t="s">
        <v>520</v>
      </c>
      <c r="D101" s="522">
        <v>1</v>
      </c>
      <c r="E101" s="877"/>
      <c r="F101" s="522">
        <f t="shared" si="3"/>
        <v>0</v>
      </c>
    </row>
    <row r="102" spans="1:6" ht="15">
      <c r="A102" s="519"/>
      <c r="B102" s="523" t="s">
        <v>666</v>
      </c>
      <c r="C102" s="521" t="s">
        <v>650</v>
      </c>
      <c r="D102" s="522">
        <v>50</v>
      </c>
      <c r="E102" s="877"/>
      <c r="F102" s="522">
        <f t="shared" si="3"/>
        <v>0</v>
      </c>
    </row>
    <row r="103" spans="1:6" ht="15">
      <c r="A103" s="519"/>
      <c r="B103" s="523" t="s">
        <v>667</v>
      </c>
      <c r="C103" s="521" t="s">
        <v>650</v>
      </c>
      <c r="D103" s="522">
        <v>50</v>
      </c>
      <c r="E103" s="877"/>
      <c r="F103" s="522">
        <f t="shared" si="3"/>
        <v>0</v>
      </c>
    </row>
    <row r="104" spans="1:6" ht="15">
      <c r="A104" s="519"/>
      <c r="B104" s="523" t="s">
        <v>668</v>
      </c>
      <c r="C104" s="521" t="s">
        <v>650</v>
      </c>
      <c r="D104" s="522">
        <v>30</v>
      </c>
      <c r="E104" s="877"/>
      <c r="F104" s="522">
        <f t="shared" si="3"/>
        <v>0</v>
      </c>
    </row>
    <row r="105" spans="1:6" ht="15">
      <c r="A105" s="519"/>
      <c r="B105" s="523" t="s">
        <v>669</v>
      </c>
      <c r="C105" s="521" t="s">
        <v>520</v>
      </c>
      <c r="D105" s="522">
        <v>36</v>
      </c>
      <c r="E105" s="877"/>
      <c r="F105" s="522">
        <f t="shared" si="3"/>
        <v>0</v>
      </c>
    </row>
    <row r="106" spans="1:6" ht="15">
      <c r="A106" s="519"/>
      <c r="B106" s="523" t="s">
        <v>670</v>
      </c>
      <c r="C106" s="521" t="s">
        <v>650</v>
      </c>
      <c r="D106" s="522">
        <v>40</v>
      </c>
      <c r="E106" s="877"/>
      <c r="F106" s="522">
        <f t="shared" si="3"/>
        <v>0</v>
      </c>
    </row>
    <row r="107" spans="1:6" ht="15">
      <c r="A107" s="519"/>
      <c r="B107" s="523" t="s">
        <v>671</v>
      </c>
      <c r="C107" s="521" t="s">
        <v>520</v>
      </c>
      <c r="D107" s="522">
        <v>500</v>
      </c>
      <c r="E107" s="877"/>
      <c r="F107" s="522">
        <f t="shared" si="3"/>
        <v>0</v>
      </c>
    </row>
    <row r="108" spans="1:6" ht="15">
      <c r="A108" s="519"/>
      <c r="B108" s="523" t="s">
        <v>654</v>
      </c>
      <c r="C108" s="521" t="s">
        <v>748</v>
      </c>
      <c r="D108" s="522">
        <v>1</v>
      </c>
      <c r="E108" s="877"/>
      <c r="F108" s="522">
        <f t="shared" si="3"/>
        <v>0</v>
      </c>
    </row>
    <row r="109" spans="1:6" ht="15">
      <c r="A109" s="519"/>
      <c r="B109" s="523" t="s">
        <v>672</v>
      </c>
      <c r="C109" s="521" t="s">
        <v>748</v>
      </c>
      <c r="D109" s="522">
        <v>1</v>
      </c>
      <c r="E109" s="877"/>
      <c r="F109" s="522">
        <f t="shared" si="3"/>
        <v>0</v>
      </c>
    </row>
    <row r="110" spans="1:6" ht="15">
      <c r="A110" s="519"/>
      <c r="B110" s="523" t="s">
        <v>656</v>
      </c>
      <c r="C110" s="521" t="s">
        <v>748</v>
      </c>
      <c r="D110" s="522">
        <v>1</v>
      </c>
      <c r="E110" s="877"/>
      <c r="F110" s="522">
        <f t="shared" si="3"/>
        <v>0</v>
      </c>
    </row>
    <row r="111" spans="1:6" ht="25.5">
      <c r="A111" s="519" t="s">
        <v>673</v>
      </c>
      <c r="B111" s="523" t="s">
        <v>674</v>
      </c>
      <c r="C111" s="521"/>
      <c r="D111" s="522"/>
      <c r="E111" s="882"/>
      <c r="F111" s="522"/>
    </row>
    <row r="112" spans="1:6" ht="15">
      <c r="A112" s="519"/>
      <c r="B112" s="523"/>
      <c r="C112" s="521" t="s">
        <v>748</v>
      </c>
      <c r="D112" s="522">
        <v>1</v>
      </c>
      <c r="E112" s="877"/>
      <c r="F112" s="522">
        <f t="shared" si="3"/>
        <v>0</v>
      </c>
    </row>
    <row r="113" spans="1:6" ht="15.75">
      <c r="A113" s="519"/>
      <c r="B113" s="636" t="s">
        <v>1657</v>
      </c>
      <c r="C113" s="554"/>
      <c r="D113" s="554"/>
      <c r="E113" s="879"/>
      <c r="F113" s="535">
        <f>SUM(F74:F83,F85:F95,F97:F112)</f>
        <v>0</v>
      </c>
    </row>
    <row r="114" spans="1:6" ht="15">
      <c r="A114" s="525"/>
      <c r="B114" s="531"/>
      <c r="C114" s="532"/>
      <c r="D114" s="533"/>
      <c r="E114" s="883"/>
      <c r="F114" s="533"/>
    </row>
    <row r="115" spans="1:4" ht="15.75">
      <c r="A115" s="511" t="s">
        <v>675</v>
      </c>
      <c r="B115" s="512" t="s">
        <v>676</v>
      </c>
      <c r="C115" s="527"/>
      <c r="D115" s="528"/>
    </row>
    <row r="116" spans="1:6" ht="15">
      <c r="A116" s="515" t="s">
        <v>516</v>
      </c>
      <c r="B116" s="516" t="s">
        <v>517</v>
      </c>
      <c r="C116" s="517" t="s">
        <v>711</v>
      </c>
      <c r="D116" s="518" t="s">
        <v>712</v>
      </c>
      <c r="E116" s="881" t="s">
        <v>713</v>
      </c>
      <c r="F116" s="518" t="s">
        <v>714</v>
      </c>
    </row>
    <row r="117" spans="1:6" ht="15">
      <c r="A117" s="519" t="s">
        <v>677</v>
      </c>
      <c r="B117" s="523" t="s">
        <v>678</v>
      </c>
      <c r="C117" s="521" t="s">
        <v>520</v>
      </c>
      <c r="D117" s="522">
        <v>1</v>
      </c>
      <c r="E117" s="877"/>
      <c r="F117" s="522">
        <f aca="true" t="shared" si="4" ref="F117:F123">+D117*E117</f>
        <v>0</v>
      </c>
    </row>
    <row r="118" spans="1:6" ht="15">
      <c r="A118" s="519" t="s">
        <v>679</v>
      </c>
      <c r="B118" s="523" t="s">
        <v>680</v>
      </c>
      <c r="C118" s="521" t="s">
        <v>520</v>
      </c>
      <c r="D118" s="522">
        <v>2</v>
      </c>
      <c r="E118" s="877"/>
      <c r="F118" s="522">
        <f t="shared" si="4"/>
        <v>0</v>
      </c>
    </row>
    <row r="119" spans="1:6" ht="15">
      <c r="A119" s="519" t="s">
        <v>681</v>
      </c>
      <c r="B119" s="523" t="s">
        <v>682</v>
      </c>
      <c r="C119" s="521" t="s">
        <v>520</v>
      </c>
      <c r="D119" s="522">
        <v>1</v>
      </c>
      <c r="E119" s="877"/>
      <c r="F119" s="522">
        <f t="shared" si="4"/>
        <v>0</v>
      </c>
    </row>
    <row r="120" spans="1:6" ht="25.5">
      <c r="A120" s="519" t="s">
        <v>683</v>
      </c>
      <c r="B120" s="523" t="s">
        <v>684</v>
      </c>
      <c r="C120" s="521" t="s">
        <v>520</v>
      </c>
      <c r="D120" s="522">
        <v>1</v>
      </c>
      <c r="E120" s="877"/>
      <c r="F120" s="522">
        <f t="shared" si="4"/>
        <v>0</v>
      </c>
    </row>
    <row r="121" spans="1:6" ht="15">
      <c r="A121" s="519" t="s">
        <v>685</v>
      </c>
      <c r="B121" s="523" t="s">
        <v>686</v>
      </c>
      <c r="C121" s="521" t="s">
        <v>520</v>
      </c>
      <c r="D121" s="522">
        <v>3</v>
      </c>
      <c r="E121" s="877"/>
      <c r="F121" s="522">
        <f t="shared" si="4"/>
        <v>0</v>
      </c>
    </row>
    <row r="122" spans="1:6" ht="15">
      <c r="A122" s="519" t="s">
        <v>687</v>
      </c>
      <c r="B122" s="523" t="s">
        <v>688</v>
      </c>
      <c r="C122" s="521" t="s">
        <v>520</v>
      </c>
      <c r="D122" s="522">
        <v>2</v>
      </c>
      <c r="E122" s="877"/>
      <c r="F122" s="522">
        <f t="shared" si="4"/>
        <v>0</v>
      </c>
    </row>
    <row r="123" spans="1:6" ht="38.25">
      <c r="A123" s="519" t="s">
        <v>689</v>
      </c>
      <c r="B123" s="523" t="s">
        <v>690</v>
      </c>
      <c r="C123" s="521" t="s">
        <v>748</v>
      </c>
      <c r="D123" s="522">
        <v>1</v>
      </c>
      <c r="E123" s="885"/>
      <c r="F123" s="522">
        <f t="shared" si="4"/>
        <v>0</v>
      </c>
    </row>
    <row r="124" spans="1:6" ht="15">
      <c r="A124" s="519" t="s">
        <v>691</v>
      </c>
      <c r="B124" s="534" t="s">
        <v>692</v>
      </c>
      <c r="C124" s="555"/>
      <c r="D124" s="556"/>
      <c r="E124" s="884"/>
      <c r="F124" s="557"/>
    </row>
    <row r="125" spans="1:6" ht="38.25">
      <c r="A125" s="519"/>
      <c r="B125" s="523" t="s">
        <v>693</v>
      </c>
      <c r="C125" s="521" t="s">
        <v>694</v>
      </c>
      <c r="D125" s="522">
        <v>48.6</v>
      </c>
      <c r="E125" s="885"/>
      <c r="F125" s="522">
        <f>+D125*E125</f>
        <v>0</v>
      </c>
    </row>
    <row r="126" spans="1:6" ht="43.5" customHeight="1">
      <c r="A126" s="519"/>
      <c r="B126" s="523" t="s">
        <v>695</v>
      </c>
      <c r="C126" s="521" t="s">
        <v>520</v>
      </c>
      <c r="D126" s="522">
        <v>19</v>
      </c>
      <c r="E126" s="885"/>
      <c r="F126" s="522">
        <f>+D126*E126</f>
        <v>0</v>
      </c>
    </row>
    <row r="127" spans="1:6" ht="15.75">
      <c r="A127" s="519"/>
      <c r="B127" s="636" t="s">
        <v>1658</v>
      </c>
      <c r="C127" s="554"/>
      <c r="D127" s="554"/>
      <c r="E127" s="879"/>
      <c r="F127" s="536">
        <f>SUM(F117:F126)</f>
        <v>0</v>
      </c>
    </row>
    <row r="128" spans="1:4" ht="15">
      <c r="A128" s="525"/>
      <c r="B128" s="531"/>
      <c r="C128" s="532"/>
      <c r="D128" s="533"/>
    </row>
    <row r="129" spans="1:4" ht="15.75">
      <c r="A129" s="511" t="s">
        <v>696</v>
      </c>
      <c r="B129" s="512" t="s">
        <v>697</v>
      </c>
      <c r="C129" s="527"/>
      <c r="D129" s="528"/>
    </row>
    <row r="130" spans="1:6" ht="15">
      <c r="A130" s="515" t="s">
        <v>516</v>
      </c>
      <c r="B130" s="516" t="s">
        <v>517</v>
      </c>
      <c r="C130" s="517" t="s">
        <v>711</v>
      </c>
      <c r="D130" s="518" t="s">
        <v>712</v>
      </c>
      <c r="E130" s="881" t="s">
        <v>713</v>
      </c>
      <c r="F130" s="518" t="s">
        <v>714</v>
      </c>
    </row>
    <row r="131" spans="1:6" ht="38.25">
      <c r="A131" s="519" t="s">
        <v>698</v>
      </c>
      <c r="B131" s="523" t="s">
        <v>699</v>
      </c>
      <c r="C131" s="521" t="s">
        <v>748</v>
      </c>
      <c r="D131" s="522">
        <v>1</v>
      </c>
      <c r="E131" s="877"/>
      <c r="F131" s="522">
        <f>+D131*E131</f>
        <v>0</v>
      </c>
    </row>
    <row r="132" spans="1:6" ht="25.5">
      <c r="A132" s="519" t="s">
        <v>700</v>
      </c>
      <c r="B132" s="523" t="s">
        <v>701</v>
      </c>
      <c r="C132" s="521" t="s">
        <v>702</v>
      </c>
      <c r="D132" s="522">
        <v>515</v>
      </c>
      <c r="E132" s="877"/>
      <c r="F132" s="522">
        <f>+D132*E132</f>
        <v>0</v>
      </c>
    </row>
    <row r="133" spans="1:6" ht="25.5">
      <c r="A133" s="519" t="s">
        <v>703</v>
      </c>
      <c r="B133" s="523" t="s">
        <v>704</v>
      </c>
      <c r="C133" s="521" t="s">
        <v>748</v>
      </c>
      <c r="D133" s="522">
        <v>1</v>
      </c>
      <c r="E133" s="877"/>
      <c r="F133" s="522">
        <f>+D133*E133</f>
        <v>0</v>
      </c>
    </row>
    <row r="134" spans="1:6" ht="15">
      <c r="A134" s="519" t="s">
        <v>705</v>
      </c>
      <c r="B134" s="523" t="s">
        <v>706</v>
      </c>
      <c r="C134" s="521" t="s">
        <v>748</v>
      </c>
      <c r="D134" s="522">
        <v>1</v>
      </c>
      <c r="E134" s="885"/>
      <c r="F134" s="522">
        <f>+D134*E134</f>
        <v>0</v>
      </c>
    </row>
    <row r="135" spans="1:6" ht="15">
      <c r="A135" s="519" t="s">
        <v>707</v>
      </c>
      <c r="B135" s="523" t="s">
        <v>708</v>
      </c>
      <c r="C135" s="521" t="s">
        <v>748</v>
      </c>
      <c r="D135" s="522">
        <v>1</v>
      </c>
      <c r="E135" s="885"/>
      <c r="F135" s="522">
        <f>+D135*E135</f>
        <v>0</v>
      </c>
    </row>
    <row r="136" spans="1:6" ht="15.75">
      <c r="A136" s="519"/>
      <c r="B136" s="636" t="s">
        <v>1659</v>
      </c>
      <c r="C136" s="554"/>
      <c r="D136" s="554"/>
      <c r="E136" s="879"/>
      <c r="F136" s="536">
        <f>SUM(F131:F135)</f>
        <v>0</v>
      </c>
    </row>
    <row r="137" spans="1:4" ht="15">
      <c r="A137" s="525"/>
      <c r="B137" s="537"/>
      <c r="C137" s="527"/>
      <c r="D137" s="528"/>
    </row>
    <row r="138" spans="1:4" ht="18.75">
      <c r="A138" s="525"/>
      <c r="B138" s="538" t="s">
        <v>709</v>
      </c>
      <c r="C138" s="527"/>
      <c r="D138" s="528"/>
    </row>
    <row r="139" spans="1:6" ht="15.75">
      <c r="A139" s="539" t="s">
        <v>514</v>
      </c>
      <c r="B139" s="540" t="s">
        <v>515</v>
      </c>
      <c r="C139" s="195"/>
      <c r="D139" s="541"/>
      <c r="E139" s="886"/>
      <c r="F139" s="542">
        <f>F17</f>
        <v>0</v>
      </c>
    </row>
    <row r="140" spans="1:6" ht="15.75">
      <c r="A140" s="539" t="s">
        <v>543</v>
      </c>
      <c r="B140" s="540" t="s">
        <v>544</v>
      </c>
      <c r="C140" s="195"/>
      <c r="D140" s="541"/>
      <c r="E140" s="886"/>
      <c r="F140" s="542">
        <f>F41</f>
        <v>0</v>
      </c>
    </row>
    <row r="141" spans="1:6" ht="15.75">
      <c r="A141" s="539" t="s">
        <v>571</v>
      </c>
      <c r="B141" s="540" t="s">
        <v>572</v>
      </c>
      <c r="C141" s="195"/>
      <c r="D141" s="541"/>
      <c r="E141" s="886"/>
      <c r="F141" s="542">
        <f>F70</f>
        <v>0</v>
      </c>
    </row>
    <row r="142" spans="1:6" ht="15.75">
      <c r="A142" s="539" t="s">
        <v>622</v>
      </c>
      <c r="B142" s="540" t="s">
        <v>623</v>
      </c>
      <c r="C142" s="195"/>
      <c r="D142" s="541"/>
      <c r="E142" s="886"/>
      <c r="F142" s="542">
        <f>F113</f>
        <v>0</v>
      </c>
    </row>
    <row r="143" spans="1:6" ht="15.75">
      <c r="A143" s="539" t="s">
        <v>675</v>
      </c>
      <c r="B143" s="540" t="s">
        <v>676</v>
      </c>
      <c r="C143" s="195"/>
      <c r="D143" s="541"/>
      <c r="E143" s="886"/>
      <c r="F143" s="542">
        <f>F127</f>
        <v>0</v>
      </c>
    </row>
    <row r="144" spans="1:6" ht="15.75">
      <c r="A144" s="539" t="s">
        <v>696</v>
      </c>
      <c r="B144" s="540" t="s">
        <v>697</v>
      </c>
      <c r="C144" s="195"/>
      <c r="D144" s="541"/>
      <c r="E144" s="886"/>
      <c r="F144" s="542">
        <f>F136</f>
        <v>0</v>
      </c>
    </row>
    <row r="145" spans="1:6" ht="15.75" thickBot="1">
      <c r="A145" s="543"/>
      <c r="B145" s="544"/>
      <c r="C145" s="545"/>
      <c r="D145" s="546"/>
      <c r="E145" s="887"/>
      <c r="F145" s="547"/>
    </row>
    <row r="146" spans="1:6" ht="19.5" thickBot="1">
      <c r="A146" s="548"/>
      <c r="B146" s="637" t="s">
        <v>710</v>
      </c>
      <c r="C146" s="549"/>
      <c r="D146" s="550"/>
      <c r="E146" s="888"/>
      <c r="F146" s="551">
        <f>SUM(F139,F140,F141,F142,F143,F144)</f>
        <v>0</v>
      </c>
    </row>
  </sheetData>
  <sheetProtection password="EE55" sheet="1" selectLockedCells="1"/>
  <printOptions/>
  <pageMargins left="0.3937007874015748" right="0.15748031496062992" top="0.3937007874015748" bottom="0.35433070866141736" header="0.11811023622047245" footer="0.11811023622047245"/>
  <pageSetup horizontalDpi="600" verticalDpi="600" orientation="portrait" paperSize="9" r:id="rId1"/>
  <headerFooter>
    <oddHeader>&amp;L&amp;F&amp;R&amp;"Arial,Krepko"&amp;8BIRO APIS d.o.o.: Zemljemerska ul.10; 1000 Ljlubljana</oddHeader>
    <oddFooter>&amp;L&amp;8&amp;F&amp;R&amp;P/&amp;N</oddFooter>
  </headerFooter>
</worksheet>
</file>

<file path=xl/worksheets/sheet7.xml><?xml version="1.0" encoding="utf-8"?>
<worksheet xmlns="http://schemas.openxmlformats.org/spreadsheetml/2006/main" xmlns:r="http://schemas.openxmlformats.org/officeDocument/2006/relationships">
  <sheetPr>
    <tabColor rgb="FF0070C0"/>
  </sheetPr>
  <dimension ref="A1:F93"/>
  <sheetViews>
    <sheetView view="pageBreakPreview" zoomScaleSheetLayoutView="100" zoomScalePageLayoutView="0" workbookViewId="0" topLeftCell="A1">
      <selection activeCell="E17" sqref="E17"/>
    </sheetView>
  </sheetViews>
  <sheetFormatPr defaultColWidth="9.140625" defaultRowHeight="12.75"/>
  <cols>
    <col min="1" max="1" width="7.8515625" style="70" customWidth="1"/>
    <col min="2" max="2" width="58.28125" style="71" customWidth="1"/>
    <col min="3" max="3" width="4.57421875" style="167" customWidth="1"/>
    <col min="4" max="4" width="8.57421875" style="150" customWidth="1"/>
    <col min="5" max="5" width="8.28125" style="840" customWidth="1"/>
    <col min="6" max="6" width="11.57421875" style="151" customWidth="1"/>
    <col min="7" max="7" width="29.00390625" style="71" customWidth="1"/>
    <col min="8" max="16384" width="9.140625" style="71" customWidth="1"/>
  </cols>
  <sheetData>
    <row r="1" spans="1:6" ht="12">
      <c r="A1" s="42"/>
      <c r="B1" s="43"/>
      <c r="C1" s="44"/>
      <c r="D1" s="101"/>
      <c r="E1" s="752"/>
      <c r="F1" s="102"/>
    </row>
    <row r="2" spans="1:6" ht="23.25">
      <c r="A2" s="645" t="s">
        <v>1127</v>
      </c>
      <c r="B2" s="646" t="s">
        <v>1128</v>
      </c>
      <c r="C2" s="166"/>
      <c r="D2" s="128"/>
      <c r="E2" s="772"/>
      <c r="F2" s="129"/>
    </row>
    <row r="3" spans="1:6" ht="4.5" customHeight="1">
      <c r="A3" s="99"/>
      <c r="B3" s="89"/>
      <c r="C3" s="255"/>
      <c r="D3" s="130"/>
      <c r="E3" s="773"/>
      <c r="F3" s="131"/>
    </row>
    <row r="4" spans="1:6" ht="18.75">
      <c r="A4" s="311" t="s">
        <v>76</v>
      </c>
      <c r="B4" s="312" t="s">
        <v>1129</v>
      </c>
      <c r="C4" s="165"/>
      <c r="D4" s="119"/>
      <c r="E4" s="774"/>
      <c r="F4" s="120">
        <f>+F93</f>
        <v>0</v>
      </c>
    </row>
    <row r="5" spans="1:6" ht="15">
      <c r="A5" s="236"/>
      <c r="B5" s="172"/>
      <c r="C5" s="53"/>
      <c r="D5" s="135"/>
      <c r="E5" s="776"/>
      <c r="F5" s="136"/>
    </row>
    <row r="6" spans="1:6" ht="15">
      <c r="A6" s="47"/>
      <c r="B6" s="217" t="s">
        <v>1565</v>
      </c>
      <c r="C6" s="48"/>
      <c r="D6" s="115"/>
      <c r="E6" s="764"/>
      <c r="F6" s="447">
        <f>SUM(F4:F5)</f>
        <v>0</v>
      </c>
    </row>
    <row r="7" spans="1:6" s="91" customFormat="1" ht="12">
      <c r="A7" s="49"/>
      <c r="B7" s="50"/>
      <c r="C7" s="51"/>
      <c r="D7" s="126"/>
      <c r="E7" s="771"/>
      <c r="F7" s="126"/>
    </row>
    <row r="8" spans="1:6" ht="12">
      <c r="A8" s="49"/>
      <c r="B8" s="50"/>
      <c r="C8" s="51"/>
      <c r="D8" s="126"/>
      <c r="E8" s="771"/>
      <c r="F8" s="126"/>
    </row>
    <row r="9" spans="1:6" ht="18.75">
      <c r="A9" s="74" t="s">
        <v>76</v>
      </c>
      <c r="B9" s="75" t="s">
        <v>49</v>
      </c>
      <c r="C9" s="76"/>
      <c r="D9" s="139"/>
      <c r="E9" s="781"/>
      <c r="F9" s="139"/>
    </row>
    <row r="10" spans="1:6" ht="15">
      <c r="A10" s="618" t="s">
        <v>34</v>
      </c>
      <c r="B10" s="656" t="s">
        <v>35</v>
      </c>
      <c r="C10" s="569" t="s">
        <v>52</v>
      </c>
      <c r="D10" s="569" t="s">
        <v>51</v>
      </c>
      <c r="E10" s="850" t="s">
        <v>113</v>
      </c>
      <c r="F10" s="569" t="s">
        <v>36</v>
      </c>
    </row>
    <row r="11" spans="1:6" ht="12">
      <c r="A11" s="177"/>
      <c r="B11" s="178" t="s">
        <v>30</v>
      </c>
      <c r="C11" s="56"/>
      <c r="D11" s="179"/>
      <c r="E11" s="790"/>
      <c r="F11" s="180"/>
    </row>
    <row r="12" spans="1:6" ht="22.5">
      <c r="A12" s="177" t="s">
        <v>25</v>
      </c>
      <c r="B12" s="181" t="s">
        <v>262</v>
      </c>
      <c r="C12" s="56"/>
      <c r="D12" s="179"/>
      <c r="E12" s="790"/>
      <c r="F12" s="180"/>
    </row>
    <row r="13" spans="1:6" ht="33.75">
      <c r="A13" s="177" t="s">
        <v>26</v>
      </c>
      <c r="B13" s="182" t="s">
        <v>263</v>
      </c>
      <c r="C13" s="56"/>
      <c r="D13" s="179"/>
      <c r="E13" s="790"/>
      <c r="F13" s="180"/>
    </row>
    <row r="14" spans="1:6" ht="22.5">
      <c r="A14" s="177" t="s">
        <v>27</v>
      </c>
      <c r="B14" s="182" t="s">
        <v>264</v>
      </c>
      <c r="C14" s="56"/>
      <c r="D14" s="179"/>
      <c r="E14" s="790"/>
      <c r="F14" s="180"/>
    </row>
    <row r="15" spans="1:6" ht="22.5">
      <c r="A15" s="177" t="s">
        <v>28</v>
      </c>
      <c r="B15" s="182" t="s">
        <v>265</v>
      </c>
      <c r="C15" s="56"/>
      <c r="D15" s="179"/>
      <c r="E15" s="790"/>
      <c r="F15" s="180"/>
    </row>
    <row r="16" spans="1:6" ht="12">
      <c r="A16" s="177" t="s">
        <v>29</v>
      </c>
      <c r="B16" s="182" t="s">
        <v>266</v>
      </c>
      <c r="C16" s="56"/>
      <c r="D16" s="179"/>
      <c r="E16" s="790"/>
      <c r="F16" s="180"/>
    </row>
    <row r="17" spans="1:6" ht="22.5">
      <c r="A17" s="177" t="s">
        <v>32</v>
      </c>
      <c r="B17" s="182" t="s">
        <v>267</v>
      </c>
      <c r="C17" s="56"/>
      <c r="D17" s="179"/>
      <c r="E17" s="790"/>
      <c r="F17" s="180"/>
    </row>
    <row r="18" spans="1:6" ht="22.5">
      <c r="A18" s="177" t="s">
        <v>33</v>
      </c>
      <c r="B18" s="60" t="s">
        <v>268</v>
      </c>
      <c r="C18" s="56"/>
      <c r="D18" s="179"/>
      <c r="E18" s="790"/>
      <c r="F18" s="180"/>
    </row>
    <row r="19" spans="1:6" ht="25.5" customHeight="1">
      <c r="A19" s="177"/>
      <c r="B19" s="38" t="s">
        <v>269</v>
      </c>
      <c r="C19" s="56"/>
      <c r="D19" s="179"/>
      <c r="E19" s="790"/>
      <c r="F19" s="180"/>
    </row>
    <row r="20" spans="1:6" ht="12">
      <c r="A20" s="177"/>
      <c r="B20" s="230" t="s">
        <v>270</v>
      </c>
      <c r="C20" s="56"/>
      <c r="D20" s="179"/>
      <c r="E20" s="790"/>
      <c r="F20" s="180"/>
    </row>
    <row r="21" spans="1:6" ht="12">
      <c r="A21" s="177"/>
      <c r="B21" s="230" t="s">
        <v>271</v>
      </c>
      <c r="C21" s="56"/>
      <c r="D21" s="179"/>
      <c r="E21" s="790"/>
      <c r="F21" s="180"/>
    </row>
    <row r="22" spans="1:6" ht="12">
      <c r="A22" s="177"/>
      <c r="B22" s="230" t="s">
        <v>272</v>
      </c>
      <c r="C22" s="56"/>
      <c r="D22" s="179"/>
      <c r="E22" s="790"/>
      <c r="F22" s="180"/>
    </row>
    <row r="23" spans="1:6" ht="12">
      <c r="A23" s="177"/>
      <c r="B23" s="230" t="s">
        <v>273</v>
      </c>
      <c r="C23" s="56"/>
      <c r="D23" s="179"/>
      <c r="E23" s="790"/>
      <c r="F23" s="180"/>
    </row>
    <row r="24" spans="1:6" ht="12">
      <c r="A24" s="177" t="s">
        <v>41</v>
      </c>
      <c r="B24" s="231" t="s">
        <v>274</v>
      </c>
      <c r="C24" s="56"/>
      <c r="D24" s="179"/>
      <c r="E24" s="790"/>
      <c r="F24" s="180"/>
    </row>
    <row r="25" spans="1:6" ht="12">
      <c r="A25" s="177"/>
      <c r="B25" s="230" t="s">
        <v>275</v>
      </c>
      <c r="C25" s="56"/>
      <c r="D25" s="179"/>
      <c r="E25" s="790"/>
      <c r="F25" s="180"/>
    </row>
    <row r="26" spans="1:6" ht="12">
      <c r="A26" s="177"/>
      <c r="B26" s="183" t="s">
        <v>276</v>
      </c>
      <c r="C26" s="56"/>
      <c r="D26" s="179"/>
      <c r="E26" s="790"/>
      <c r="F26" s="180"/>
    </row>
    <row r="27" spans="1:6" ht="33.75">
      <c r="A27" s="184" t="s">
        <v>44</v>
      </c>
      <c r="B27" s="60" t="s">
        <v>277</v>
      </c>
      <c r="C27" s="56"/>
      <c r="D27" s="179"/>
      <c r="E27" s="790"/>
      <c r="F27" s="180"/>
    </row>
    <row r="28" spans="1:6" ht="12">
      <c r="A28" s="184" t="s">
        <v>278</v>
      </c>
      <c r="B28" s="60" t="s">
        <v>279</v>
      </c>
      <c r="C28" s="56"/>
      <c r="D28" s="179"/>
      <c r="E28" s="790"/>
      <c r="F28" s="180"/>
    </row>
    <row r="29" spans="1:6" ht="12">
      <c r="A29" s="184"/>
      <c r="B29" s="38" t="s">
        <v>280</v>
      </c>
      <c r="C29" s="56"/>
      <c r="D29" s="179"/>
      <c r="E29" s="790"/>
      <c r="F29" s="180"/>
    </row>
    <row r="30" spans="1:6" ht="12">
      <c r="A30" s="184"/>
      <c r="B30" s="38" t="s">
        <v>281</v>
      </c>
      <c r="C30" s="56"/>
      <c r="D30" s="179"/>
      <c r="E30" s="790"/>
      <c r="F30" s="180"/>
    </row>
    <row r="31" spans="1:6" ht="12">
      <c r="A31" s="184"/>
      <c r="B31" s="38" t="s">
        <v>282</v>
      </c>
      <c r="C31" s="56"/>
      <c r="D31" s="179"/>
      <c r="E31" s="790"/>
      <c r="F31" s="180"/>
    </row>
    <row r="32" spans="1:6" ht="22.5">
      <c r="A32" s="184"/>
      <c r="B32" s="38" t="s">
        <v>283</v>
      </c>
      <c r="C32" s="56"/>
      <c r="D32" s="179"/>
      <c r="E32" s="790"/>
      <c r="F32" s="180"/>
    </row>
    <row r="33" spans="1:6" ht="12">
      <c r="A33" s="184"/>
      <c r="B33" s="38" t="s">
        <v>284</v>
      </c>
      <c r="C33" s="56"/>
      <c r="D33" s="179"/>
      <c r="E33" s="790"/>
      <c r="F33" s="180"/>
    </row>
    <row r="34" spans="1:6" ht="12">
      <c r="A34" s="184"/>
      <c r="B34" s="38" t="s">
        <v>285</v>
      </c>
      <c r="C34" s="56"/>
      <c r="D34" s="179"/>
      <c r="E34" s="790"/>
      <c r="F34" s="180"/>
    </row>
    <row r="35" spans="1:6" ht="12">
      <c r="A35" s="184"/>
      <c r="B35" s="38" t="s">
        <v>286</v>
      </c>
      <c r="C35" s="56"/>
      <c r="D35" s="179"/>
      <c r="E35" s="790"/>
      <c r="F35" s="180"/>
    </row>
    <row r="36" spans="1:6" ht="12">
      <c r="A36" s="184"/>
      <c r="B36" s="38" t="s">
        <v>287</v>
      </c>
      <c r="C36" s="56"/>
      <c r="D36" s="179"/>
      <c r="E36" s="790"/>
      <c r="F36" s="180"/>
    </row>
    <row r="37" spans="1:6" ht="12">
      <c r="A37" s="184"/>
      <c r="B37" s="38" t="s">
        <v>288</v>
      </c>
      <c r="C37" s="56"/>
      <c r="D37" s="179"/>
      <c r="E37" s="790"/>
      <c r="F37" s="180"/>
    </row>
    <row r="38" spans="1:6" ht="12">
      <c r="A38" s="184"/>
      <c r="B38" s="38" t="s">
        <v>289</v>
      </c>
      <c r="C38" s="56"/>
      <c r="D38" s="179"/>
      <c r="E38" s="790"/>
      <c r="F38" s="180"/>
    </row>
    <row r="39" spans="1:6" ht="22.5">
      <c r="A39" s="184"/>
      <c r="B39" s="38" t="s">
        <v>290</v>
      </c>
      <c r="C39" s="56"/>
      <c r="D39" s="179"/>
      <c r="E39" s="790"/>
      <c r="F39" s="180"/>
    </row>
    <row r="40" spans="1:6" ht="12">
      <c r="A40" s="184"/>
      <c r="B40" s="38" t="s">
        <v>291</v>
      </c>
      <c r="C40" s="56"/>
      <c r="D40" s="179"/>
      <c r="E40" s="790"/>
      <c r="F40" s="180"/>
    </row>
    <row r="41" spans="1:6" ht="12">
      <c r="A41" s="184"/>
      <c r="B41" s="38" t="s">
        <v>292</v>
      </c>
      <c r="C41" s="56"/>
      <c r="D41" s="179"/>
      <c r="E41" s="790"/>
      <c r="F41" s="180"/>
    </row>
    <row r="42" spans="1:6" ht="12">
      <c r="A42" s="184"/>
      <c r="B42" s="38" t="s">
        <v>293</v>
      </c>
      <c r="C42" s="56"/>
      <c r="D42" s="179"/>
      <c r="E42" s="790"/>
      <c r="F42" s="180"/>
    </row>
    <row r="43" spans="1:6" ht="33.75">
      <c r="A43" s="184"/>
      <c r="B43" s="38" t="s">
        <v>294</v>
      </c>
      <c r="C43" s="56"/>
      <c r="D43" s="179"/>
      <c r="E43" s="790"/>
      <c r="F43" s="180"/>
    </row>
    <row r="44" spans="1:6" ht="12">
      <c r="A44" s="184"/>
      <c r="B44" s="38" t="s">
        <v>295</v>
      </c>
      <c r="C44" s="56"/>
      <c r="D44" s="179"/>
      <c r="E44" s="790"/>
      <c r="F44" s="180"/>
    </row>
    <row r="45" spans="1:6" ht="22.5">
      <c r="A45" s="184"/>
      <c r="B45" s="38" t="s">
        <v>296</v>
      </c>
      <c r="C45" s="56"/>
      <c r="D45" s="179"/>
      <c r="E45" s="790"/>
      <c r="F45" s="180"/>
    </row>
    <row r="46" spans="1:6" ht="22.5">
      <c r="A46" s="184"/>
      <c r="B46" s="38" t="s">
        <v>297</v>
      </c>
      <c r="C46" s="56"/>
      <c r="D46" s="179"/>
      <c r="E46" s="790"/>
      <c r="F46" s="180"/>
    </row>
    <row r="47" spans="1:6" ht="12">
      <c r="A47" s="184"/>
      <c r="B47" s="38" t="s">
        <v>298</v>
      </c>
      <c r="C47" s="56"/>
      <c r="D47" s="179"/>
      <c r="E47" s="790"/>
      <c r="F47" s="180"/>
    </row>
    <row r="48" spans="1:6" ht="12">
      <c r="A48" s="184"/>
      <c r="B48" s="38" t="s">
        <v>299</v>
      </c>
      <c r="C48" s="56"/>
      <c r="D48" s="179"/>
      <c r="E48" s="790"/>
      <c r="F48" s="180"/>
    </row>
    <row r="49" spans="1:6" ht="22.5">
      <c r="A49" s="184"/>
      <c r="B49" s="38" t="s">
        <v>300</v>
      </c>
      <c r="C49" s="56"/>
      <c r="D49" s="179"/>
      <c r="E49" s="790"/>
      <c r="F49" s="180"/>
    </row>
    <row r="50" spans="1:6" ht="22.5">
      <c r="A50" s="184" t="s">
        <v>343</v>
      </c>
      <c r="B50" s="38" t="s">
        <v>43</v>
      </c>
      <c r="C50" s="56"/>
      <c r="D50" s="179"/>
      <c r="E50" s="790"/>
      <c r="F50" s="180"/>
    </row>
    <row r="51" spans="1:6" ht="15">
      <c r="A51" s="261"/>
      <c r="B51" s="170"/>
      <c r="C51" s="262"/>
      <c r="D51" s="263"/>
      <c r="E51" s="791"/>
      <c r="F51" s="264"/>
    </row>
    <row r="52" spans="1:6" ht="45">
      <c r="A52" s="265" t="s">
        <v>25</v>
      </c>
      <c r="B52" s="272" t="s">
        <v>1131</v>
      </c>
      <c r="C52" s="262" t="s">
        <v>850</v>
      </c>
      <c r="D52" s="263">
        <f>23.63+23.63+2.51+6.3+1.2*2+2.04+6.3+15.9+15.9</f>
        <v>98.61</v>
      </c>
      <c r="E52" s="792"/>
      <c r="F52" s="264">
        <f aca="true" t="shared" si="0" ref="F52:F57">+D52*E52</f>
        <v>0</v>
      </c>
    </row>
    <row r="53" spans="1:6" ht="75">
      <c r="A53" s="265" t="s">
        <v>26</v>
      </c>
      <c r="B53" s="272" t="s">
        <v>1132</v>
      </c>
      <c r="C53" s="262" t="s">
        <v>836</v>
      </c>
      <c r="D53" s="263">
        <f>21.86+18.12+71.16</f>
        <v>111.14</v>
      </c>
      <c r="E53" s="792"/>
      <c r="F53" s="264">
        <f t="shared" si="0"/>
        <v>0</v>
      </c>
    </row>
    <row r="54" spans="1:6" ht="65.25" customHeight="1">
      <c r="A54" s="265" t="s">
        <v>27</v>
      </c>
      <c r="B54" s="272" t="s">
        <v>1133</v>
      </c>
      <c r="C54" s="262" t="s">
        <v>842</v>
      </c>
      <c r="D54" s="263">
        <f>130+196+184</f>
        <v>510</v>
      </c>
      <c r="E54" s="792"/>
      <c r="F54" s="264">
        <f t="shared" si="0"/>
        <v>0</v>
      </c>
    </row>
    <row r="55" spans="1:6" ht="30">
      <c r="A55" s="265" t="s">
        <v>28</v>
      </c>
      <c r="B55" s="272" t="s">
        <v>1134</v>
      </c>
      <c r="C55" s="262" t="s">
        <v>850</v>
      </c>
      <c r="D55" s="263">
        <f>58+57</f>
        <v>115</v>
      </c>
      <c r="E55" s="792"/>
      <c r="F55" s="264">
        <f t="shared" si="0"/>
        <v>0</v>
      </c>
    </row>
    <row r="56" spans="1:6" ht="45">
      <c r="A56" s="265" t="s">
        <v>29</v>
      </c>
      <c r="B56" s="272" t="s">
        <v>1239</v>
      </c>
      <c r="C56" s="262" t="s">
        <v>183</v>
      </c>
      <c r="D56" s="263">
        <v>2</v>
      </c>
      <c r="E56" s="792"/>
      <c r="F56" s="264">
        <f t="shared" si="0"/>
        <v>0</v>
      </c>
    </row>
    <row r="57" spans="1:6" ht="45">
      <c r="A57" s="265" t="s">
        <v>32</v>
      </c>
      <c r="B57" s="272" t="s">
        <v>1135</v>
      </c>
      <c r="C57" s="262" t="s">
        <v>836</v>
      </c>
      <c r="D57" s="263">
        <f>+(130+196+184)*0.35</f>
        <v>178.5</v>
      </c>
      <c r="E57" s="792"/>
      <c r="F57" s="264">
        <f t="shared" si="0"/>
        <v>0</v>
      </c>
    </row>
    <row r="58" spans="1:6" ht="30">
      <c r="A58" s="265" t="s">
        <v>33</v>
      </c>
      <c r="B58" s="272" t="s">
        <v>1240</v>
      </c>
      <c r="C58" s="262"/>
      <c r="D58" s="263"/>
      <c r="E58" s="791"/>
      <c r="F58" s="264"/>
    </row>
    <row r="59" spans="1:6" ht="32.25">
      <c r="A59" s="265" t="s">
        <v>1</v>
      </c>
      <c r="B59" s="272" t="s">
        <v>1241</v>
      </c>
      <c r="C59" s="262" t="s">
        <v>842</v>
      </c>
      <c r="D59" s="263">
        <v>28</v>
      </c>
      <c r="E59" s="792"/>
      <c r="F59" s="264">
        <f>+D59*E59</f>
        <v>0</v>
      </c>
    </row>
    <row r="60" spans="1:6" ht="60">
      <c r="A60" s="265" t="s">
        <v>2</v>
      </c>
      <c r="B60" s="272" t="s">
        <v>1136</v>
      </c>
      <c r="C60" s="262" t="s">
        <v>842</v>
      </c>
      <c r="D60" s="263">
        <v>28</v>
      </c>
      <c r="E60" s="792"/>
      <c r="F60" s="264">
        <f>+D60*E60</f>
        <v>0</v>
      </c>
    </row>
    <row r="61" spans="1:6" ht="30">
      <c r="A61" s="265" t="s">
        <v>3</v>
      </c>
      <c r="B61" s="272" t="s">
        <v>1137</v>
      </c>
      <c r="C61" s="262" t="s">
        <v>836</v>
      </c>
      <c r="D61" s="263">
        <f>28*0.3*0.1</f>
        <v>0.8400000000000001</v>
      </c>
      <c r="E61" s="792"/>
      <c r="F61" s="264">
        <f>+D61*E61</f>
        <v>0</v>
      </c>
    </row>
    <row r="62" spans="1:6" ht="17.25">
      <c r="A62" s="265" t="s">
        <v>4</v>
      </c>
      <c r="B62" s="272" t="s">
        <v>1138</v>
      </c>
      <c r="C62" s="262" t="s">
        <v>842</v>
      </c>
      <c r="D62" s="263">
        <f>28*0.7</f>
        <v>19.599999999999998</v>
      </c>
      <c r="E62" s="792"/>
      <c r="F62" s="264">
        <f>+D62*E62</f>
        <v>0</v>
      </c>
    </row>
    <row r="63" spans="1:6" ht="17.25">
      <c r="A63" s="265" t="s">
        <v>5</v>
      </c>
      <c r="B63" s="272" t="s">
        <v>1139</v>
      </c>
      <c r="C63" s="262" t="s">
        <v>836</v>
      </c>
      <c r="D63" s="263">
        <f>28*0.3*0.4</f>
        <v>3.3600000000000003</v>
      </c>
      <c r="E63" s="792"/>
      <c r="F63" s="264">
        <f>+D63*E63</f>
        <v>0</v>
      </c>
    </row>
    <row r="64" spans="1:6" ht="15">
      <c r="A64" s="265" t="s">
        <v>41</v>
      </c>
      <c r="B64" s="266" t="s">
        <v>1140</v>
      </c>
      <c r="C64" s="262"/>
      <c r="D64" s="263"/>
      <c r="E64" s="791"/>
      <c r="F64" s="264"/>
    </row>
    <row r="65" spans="1:6" ht="30">
      <c r="A65" s="265" t="s">
        <v>1</v>
      </c>
      <c r="B65" s="272" t="s">
        <v>1242</v>
      </c>
      <c r="C65" s="262" t="s">
        <v>842</v>
      </c>
      <c r="D65" s="263">
        <f>130+204.5+264.6</f>
        <v>599.1</v>
      </c>
      <c r="E65" s="792"/>
      <c r="F65" s="264">
        <f aca="true" t="shared" si="1" ref="F65:F71">+D65*E65</f>
        <v>0</v>
      </c>
    </row>
    <row r="66" spans="1:6" ht="45">
      <c r="A66" s="265" t="s">
        <v>2</v>
      </c>
      <c r="B66" s="272" t="s">
        <v>1141</v>
      </c>
      <c r="C66" s="262" t="s">
        <v>842</v>
      </c>
      <c r="D66" s="263">
        <v>599.1</v>
      </c>
      <c r="E66" s="792"/>
      <c r="F66" s="264">
        <f t="shared" si="1"/>
        <v>0</v>
      </c>
    </row>
    <row r="67" spans="1:6" ht="80.25" customHeight="1">
      <c r="A67" s="265" t="s">
        <v>3</v>
      </c>
      <c r="B67" s="272" t="s">
        <v>1142</v>
      </c>
      <c r="C67" s="262" t="s">
        <v>836</v>
      </c>
      <c r="D67" s="263">
        <f>+(130+204.5+264.6)*0.3</f>
        <v>179.73</v>
      </c>
      <c r="E67" s="792"/>
      <c r="F67" s="264">
        <f t="shared" si="1"/>
        <v>0</v>
      </c>
    </row>
    <row r="68" spans="1:6" ht="30">
      <c r="A68" s="265" t="s">
        <v>4</v>
      </c>
      <c r="B68" s="272" t="s">
        <v>1243</v>
      </c>
      <c r="C68" s="262" t="s">
        <v>842</v>
      </c>
      <c r="D68" s="263">
        <f>130+204.5+264.6</f>
        <v>599.1</v>
      </c>
      <c r="E68" s="792"/>
      <c r="F68" s="264">
        <f t="shared" si="1"/>
        <v>0</v>
      </c>
    </row>
    <row r="69" spans="1:6" ht="45">
      <c r="A69" s="265" t="s">
        <v>5</v>
      </c>
      <c r="B69" s="272" t="s">
        <v>1143</v>
      </c>
      <c r="C69" s="262" t="s">
        <v>842</v>
      </c>
      <c r="D69" s="263">
        <v>599.1</v>
      </c>
      <c r="E69" s="792"/>
      <c r="F69" s="264">
        <f t="shared" si="1"/>
        <v>0</v>
      </c>
    </row>
    <row r="70" spans="1:6" ht="36" customHeight="1">
      <c r="A70" s="265" t="s">
        <v>8</v>
      </c>
      <c r="B70" s="272" t="s">
        <v>1144</v>
      </c>
      <c r="C70" s="262" t="s">
        <v>842</v>
      </c>
      <c r="D70" s="263">
        <v>599.1</v>
      </c>
      <c r="E70" s="792"/>
      <c r="F70" s="264">
        <f t="shared" si="1"/>
        <v>0</v>
      </c>
    </row>
    <row r="71" spans="1:6" ht="92.25">
      <c r="A71" s="265" t="s">
        <v>41</v>
      </c>
      <c r="B71" s="417" t="s">
        <v>1321</v>
      </c>
      <c r="C71" s="262" t="s">
        <v>850</v>
      </c>
      <c r="D71" s="263">
        <f>10.6+4.9+1.8+17.6+18.4+4.8+6+5+22</f>
        <v>91.1</v>
      </c>
      <c r="E71" s="792"/>
      <c r="F71" s="264">
        <f t="shared" si="1"/>
        <v>0</v>
      </c>
    </row>
    <row r="72" spans="1:6" ht="15">
      <c r="A72" s="265" t="s">
        <v>1145</v>
      </c>
      <c r="B72" s="272" t="s">
        <v>1146</v>
      </c>
      <c r="C72" s="262"/>
      <c r="D72" s="263"/>
      <c r="E72" s="791"/>
      <c r="F72" s="264"/>
    </row>
    <row r="73" spans="1:6" ht="17.25">
      <c r="A73" s="265" t="s">
        <v>1</v>
      </c>
      <c r="B73" s="272" t="s">
        <v>1147</v>
      </c>
      <c r="C73" s="262" t="s">
        <v>850</v>
      </c>
      <c r="D73" s="263">
        <v>1.1</v>
      </c>
      <c r="E73" s="792"/>
      <c r="F73" s="264">
        <f>+D73*E73</f>
        <v>0</v>
      </c>
    </row>
    <row r="74" spans="1:6" ht="17.25">
      <c r="A74" s="265" t="s">
        <v>2</v>
      </c>
      <c r="B74" s="272" t="s">
        <v>1148</v>
      </c>
      <c r="C74" s="262" t="s">
        <v>850</v>
      </c>
      <c r="D74" s="263">
        <v>2</v>
      </c>
      <c r="E74" s="792"/>
      <c r="F74" s="264">
        <f>+D74*E74</f>
        <v>0</v>
      </c>
    </row>
    <row r="75" spans="1:6" ht="45">
      <c r="A75" s="265" t="s">
        <v>44</v>
      </c>
      <c r="B75" s="272" t="s">
        <v>1149</v>
      </c>
      <c r="C75" s="262" t="s">
        <v>850</v>
      </c>
      <c r="D75" s="263">
        <f>23.63+23.63+2.51+6.3+1.2*2+2.04+6.3+15.9+15.9</f>
        <v>98.61</v>
      </c>
      <c r="E75" s="792"/>
      <c r="F75" s="264">
        <f>+D75*E75</f>
        <v>0</v>
      </c>
    </row>
    <row r="76" spans="1:6" ht="30">
      <c r="A76" s="265" t="s">
        <v>278</v>
      </c>
      <c r="B76" s="272" t="s">
        <v>1150</v>
      </c>
      <c r="C76" s="262" t="s">
        <v>850</v>
      </c>
      <c r="D76" s="263">
        <f>0.6+1.6+14.8+3.4</f>
        <v>20.4</v>
      </c>
      <c r="E76" s="792"/>
      <c r="F76" s="264">
        <f>+D76*E76</f>
        <v>0</v>
      </c>
    </row>
    <row r="77" spans="1:6" ht="15">
      <c r="A77" s="265" t="s">
        <v>343</v>
      </c>
      <c r="B77" s="266" t="s">
        <v>1151</v>
      </c>
      <c r="C77" s="262"/>
      <c r="D77" s="263"/>
      <c r="E77" s="791"/>
      <c r="F77" s="264"/>
    </row>
    <row r="78" spans="1:6" ht="45">
      <c r="A78" s="265" t="s">
        <v>1</v>
      </c>
      <c r="B78" s="272" t="s">
        <v>1152</v>
      </c>
      <c r="C78" s="262" t="s">
        <v>842</v>
      </c>
      <c r="D78" s="263">
        <f>16*6.3+19.3*2.2+5*1.5</f>
        <v>150.76</v>
      </c>
      <c r="E78" s="792"/>
      <c r="F78" s="264">
        <f aca="true" t="shared" si="2" ref="F78:F84">+D78*E78</f>
        <v>0</v>
      </c>
    </row>
    <row r="79" spans="1:6" ht="60">
      <c r="A79" s="265" t="s">
        <v>2</v>
      </c>
      <c r="B79" s="272" t="s">
        <v>1153</v>
      </c>
      <c r="C79" s="262" t="s">
        <v>842</v>
      </c>
      <c r="D79" s="263">
        <f>16*6.3+19.3*2.2+5*1.5</f>
        <v>150.76</v>
      </c>
      <c r="E79" s="792"/>
      <c r="F79" s="264">
        <f t="shared" si="2"/>
        <v>0</v>
      </c>
    </row>
    <row r="80" spans="1:6" ht="30">
      <c r="A80" s="265" t="s">
        <v>3</v>
      </c>
      <c r="B80" s="272" t="s">
        <v>1154</v>
      </c>
      <c r="C80" s="262" t="s">
        <v>183</v>
      </c>
      <c r="D80" s="263">
        <v>1</v>
      </c>
      <c r="E80" s="792"/>
      <c r="F80" s="264">
        <f t="shared" si="2"/>
        <v>0</v>
      </c>
    </row>
    <row r="81" spans="1:6" ht="45">
      <c r="A81" s="265" t="s">
        <v>366</v>
      </c>
      <c r="B81" s="272" t="s">
        <v>1155</v>
      </c>
      <c r="C81" s="262" t="s">
        <v>850</v>
      </c>
      <c r="D81" s="263">
        <v>6.3</v>
      </c>
      <c r="E81" s="792"/>
      <c r="F81" s="264">
        <f t="shared" si="2"/>
        <v>0</v>
      </c>
    </row>
    <row r="82" spans="1:6" ht="45">
      <c r="A82" s="265" t="s">
        <v>395</v>
      </c>
      <c r="B82" s="272" t="s">
        <v>1156</v>
      </c>
      <c r="C82" s="262" t="s">
        <v>183</v>
      </c>
      <c r="D82" s="263">
        <v>3</v>
      </c>
      <c r="E82" s="792"/>
      <c r="F82" s="264">
        <f t="shared" si="2"/>
        <v>0</v>
      </c>
    </row>
    <row r="83" spans="1:6" ht="30">
      <c r="A83" s="265" t="s">
        <v>1157</v>
      </c>
      <c r="B83" s="272" t="s">
        <v>1158</v>
      </c>
      <c r="C83" s="262" t="s">
        <v>183</v>
      </c>
      <c r="D83" s="263">
        <v>1</v>
      </c>
      <c r="E83" s="792"/>
      <c r="F83" s="264">
        <f t="shared" si="2"/>
        <v>0</v>
      </c>
    </row>
    <row r="84" spans="1:6" ht="182.25">
      <c r="A84" s="265" t="s">
        <v>1159</v>
      </c>
      <c r="B84" s="272" t="s">
        <v>1244</v>
      </c>
      <c r="C84" s="262" t="s">
        <v>842</v>
      </c>
      <c r="D84" s="263">
        <v>14</v>
      </c>
      <c r="E84" s="792"/>
      <c r="F84" s="264">
        <f t="shared" si="2"/>
        <v>0</v>
      </c>
    </row>
    <row r="85" spans="1:6" ht="20.25" customHeight="1">
      <c r="A85" s="265" t="s">
        <v>1160</v>
      </c>
      <c r="B85" s="272" t="s">
        <v>1245</v>
      </c>
      <c r="C85" s="262"/>
      <c r="D85" s="263"/>
      <c r="E85" s="791"/>
      <c r="F85" s="264"/>
    </row>
    <row r="86" spans="1:6" ht="75">
      <c r="A86" s="265" t="s">
        <v>1</v>
      </c>
      <c r="B86" s="272" t="s">
        <v>1161</v>
      </c>
      <c r="C86" s="262" t="s">
        <v>183</v>
      </c>
      <c r="D86" s="263">
        <v>2</v>
      </c>
      <c r="E86" s="792"/>
      <c r="F86" s="264">
        <f>+D86*E86</f>
        <v>0</v>
      </c>
    </row>
    <row r="87" spans="1:6" ht="60">
      <c r="A87" s="265" t="s">
        <v>2</v>
      </c>
      <c r="B87" s="272" t="s">
        <v>1246</v>
      </c>
      <c r="C87" s="262" t="s">
        <v>850</v>
      </c>
      <c r="D87" s="263">
        <f>5*12+1*12+0.6*5</f>
        <v>75</v>
      </c>
      <c r="E87" s="792"/>
      <c r="F87" s="264">
        <f>+D87*E87</f>
        <v>0</v>
      </c>
    </row>
    <row r="88" spans="1:6" ht="30">
      <c r="A88" s="265" t="s">
        <v>3</v>
      </c>
      <c r="B88" s="272" t="s">
        <v>1162</v>
      </c>
      <c r="C88" s="262" t="s">
        <v>183</v>
      </c>
      <c r="D88" s="263">
        <v>3</v>
      </c>
      <c r="E88" s="792"/>
      <c r="F88" s="264">
        <f>+D88*E88</f>
        <v>0</v>
      </c>
    </row>
    <row r="89" spans="1:6" ht="15">
      <c r="A89" s="265" t="s">
        <v>1163</v>
      </c>
      <c r="B89" s="266" t="s">
        <v>1164</v>
      </c>
      <c r="C89" s="262"/>
      <c r="D89" s="263"/>
      <c r="E89" s="791"/>
      <c r="F89" s="264"/>
    </row>
    <row r="90" spans="1:6" ht="169.5" customHeight="1">
      <c r="A90" s="265" t="s">
        <v>1</v>
      </c>
      <c r="B90" s="417" t="s">
        <v>1322</v>
      </c>
      <c r="C90" s="262" t="s">
        <v>183</v>
      </c>
      <c r="D90" s="263">
        <v>1</v>
      </c>
      <c r="E90" s="792"/>
      <c r="F90" s="264">
        <f>+D90*E90</f>
        <v>0</v>
      </c>
    </row>
    <row r="91" spans="1:6" ht="196.5" customHeight="1">
      <c r="A91" s="265" t="s">
        <v>2</v>
      </c>
      <c r="B91" s="272" t="s">
        <v>1247</v>
      </c>
      <c r="C91" s="262" t="s">
        <v>748</v>
      </c>
      <c r="D91" s="263">
        <v>1</v>
      </c>
      <c r="E91" s="792"/>
      <c r="F91" s="264">
        <f>+D91*E91</f>
        <v>0</v>
      </c>
    </row>
    <row r="92" spans="1:6" ht="15">
      <c r="A92" s="267"/>
      <c r="B92" s="268"/>
      <c r="C92" s="269"/>
      <c r="D92" s="270"/>
      <c r="E92" s="794"/>
      <c r="F92" s="271"/>
    </row>
    <row r="93" spans="1:6" ht="12.75">
      <c r="A93" s="185"/>
      <c r="B93" s="186" t="s">
        <v>1130</v>
      </c>
      <c r="C93" s="256"/>
      <c r="D93" s="175"/>
      <c r="E93" s="795"/>
      <c r="F93" s="187">
        <f>SUM(F11:F92)</f>
        <v>0</v>
      </c>
    </row>
  </sheetData>
  <sheetProtection password="EE55" sheet="1" selectLockedCells="1"/>
  <printOptions/>
  <pageMargins left="0.3937007874015748" right="0.15748031496062992" top="0.31496062992125984" bottom="0.4330708661417323" header="0.15748031496062992" footer="0.1968503937007874"/>
  <pageSetup horizontalDpi="600" verticalDpi="600" orientation="portrait" paperSize="9" r:id="rId1"/>
  <headerFooter>
    <oddHeader>&amp;L&amp;D&amp;R&amp;"Arial,Krepko"&amp;8BIRO APIS, Zemljemerska 10, 1000 Ljubljana</oddHeader>
    <oddFooter>&amp;L&amp;8&amp;F&amp;R&amp;P/&amp;N</oddFooter>
  </headerFooter>
</worksheet>
</file>

<file path=xl/worksheets/sheet8.xml><?xml version="1.0" encoding="utf-8"?>
<worksheet xmlns="http://schemas.openxmlformats.org/spreadsheetml/2006/main" xmlns:r="http://schemas.openxmlformats.org/officeDocument/2006/relationships">
  <sheetPr>
    <tabColor theme="9" tint="-0.24997000396251678"/>
  </sheetPr>
  <dimension ref="A1:F78"/>
  <sheetViews>
    <sheetView view="pageBreakPreview" zoomScaleSheetLayoutView="100" zoomScalePageLayoutView="0" workbookViewId="0" topLeftCell="A1">
      <selection activeCell="E10" sqref="E10"/>
    </sheetView>
  </sheetViews>
  <sheetFormatPr defaultColWidth="9.140625" defaultRowHeight="12.75"/>
  <cols>
    <col min="1" max="1" width="6.7109375" style="491" customWidth="1"/>
    <col min="2" max="2" width="56.140625" style="238" customWidth="1"/>
    <col min="3" max="3" width="4.7109375" style="486" customWidth="1"/>
    <col min="4" max="4" width="9.140625" style="474" customWidth="1"/>
    <col min="5" max="5" width="9.140625" style="901" customWidth="1"/>
    <col min="6" max="6" width="10.421875" style="474" customWidth="1"/>
    <col min="7" max="16384" width="9.140625" style="238" customWidth="1"/>
  </cols>
  <sheetData>
    <row r="1" spans="1:6" ht="23.25">
      <c r="A1" s="643" t="s">
        <v>1653</v>
      </c>
      <c r="B1" s="644" t="s">
        <v>1630</v>
      </c>
      <c r="C1" s="475"/>
      <c r="D1" s="462"/>
      <c r="E1" s="889"/>
      <c r="F1" s="461"/>
    </row>
    <row r="2" spans="1:6" ht="12.75">
      <c r="A2" s="487"/>
      <c r="B2" s="449" t="s">
        <v>1566</v>
      </c>
      <c r="C2" s="476"/>
      <c r="D2" s="462"/>
      <c r="E2" s="889"/>
      <c r="F2" s="461"/>
    </row>
    <row r="3" spans="1:6" ht="12.75">
      <c r="A3" s="487"/>
      <c r="B3" s="841" t="s">
        <v>1567</v>
      </c>
      <c r="C3" s="842"/>
      <c r="D3" s="842"/>
      <c r="E3" s="890"/>
      <c r="F3" s="842"/>
    </row>
    <row r="4" spans="1:6" ht="25.5">
      <c r="A4" s="487"/>
      <c r="B4" s="841" t="s">
        <v>1568</v>
      </c>
      <c r="C4" s="842"/>
      <c r="D4" s="842"/>
      <c r="E4" s="891"/>
      <c r="F4" s="463"/>
    </row>
    <row r="5" spans="1:6" ht="12.75">
      <c r="A5" s="487"/>
      <c r="B5" s="450" t="s">
        <v>1569</v>
      </c>
      <c r="C5" s="475"/>
      <c r="D5" s="461"/>
      <c r="E5" s="892"/>
      <c r="F5" s="461"/>
    </row>
    <row r="6" spans="1:6" ht="12.75">
      <c r="A6" s="487"/>
      <c r="B6" s="451"/>
      <c r="C6" s="476"/>
      <c r="D6" s="462"/>
      <c r="E6" s="889"/>
      <c r="F6" s="461"/>
    </row>
    <row r="7" spans="1:6" ht="12.75">
      <c r="A7" s="488" t="s">
        <v>116</v>
      </c>
      <c r="B7" s="450" t="s">
        <v>1570</v>
      </c>
      <c r="C7" s="477"/>
      <c r="D7" s="464"/>
      <c r="E7" s="893"/>
      <c r="F7" s="465"/>
    </row>
    <row r="8" spans="1:6" ht="12.75">
      <c r="A8" s="487"/>
      <c r="B8" s="451"/>
      <c r="C8" s="476"/>
      <c r="D8" s="462"/>
      <c r="E8" s="889"/>
      <c r="F8" s="461"/>
    </row>
    <row r="9" spans="1:6" ht="12.75">
      <c r="A9" s="487" t="s">
        <v>717</v>
      </c>
      <c r="B9" s="448" t="s">
        <v>1571</v>
      </c>
      <c r="C9" s="475"/>
      <c r="D9" s="462"/>
      <c r="E9" s="889"/>
      <c r="F9" s="462">
        <f>+F49</f>
        <v>0</v>
      </c>
    </row>
    <row r="10" spans="1:6" ht="12.75">
      <c r="A10" s="487" t="s">
        <v>78</v>
      </c>
      <c r="B10" s="448" t="s">
        <v>1572</v>
      </c>
      <c r="C10" s="475"/>
      <c r="D10" s="462"/>
      <c r="E10" s="889"/>
      <c r="F10" s="462">
        <f>F78</f>
        <v>0</v>
      </c>
    </row>
    <row r="11" spans="1:6" ht="12.75">
      <c r="A11" s="487"/>
      <c r="B11" s="448"/>
      <c r="C11" s="475"/>
      <c r="D11" s="462"/>
      <c r="E11" s="889"/>
      <c r="F11" s="461"/>
    </row>
    <row r="12" spans="1:6" ht="15">
      <c r="A12" s="487"/>
      <c r="B12" s="639" t="s">
        <v>1573</v>
      </c>
      <c r="C12" s="640"/>
      <c r="D12" s="641"/>
      <c r="E12" s="894"/>
      <c r="F12" s="642">
        <f>SUM(F9:F11)</f>
        <v>0</v>
      </c>
    </row>
    <row r="13" spans="1:6" ht="12.75">
      <c r="A13" s="487"/>
      <c r="B13" s="452"/>
      <c r="C13" s="478"/>
      <c r="D13" s="466"/>
      <c r="E13" s="895"/>
      <c r="F13" s="467"/>
    </row>
    <row r="14" spans="1:6" ht="12.75">
      <c r="A14" s="488" t="s">
        <v>717</v>
      </c>
      <c r="B14" s="842" t="s">
        <v>1571</v>
      </c>
      <c r="C14" s="475"/>
      <c r="D14" s="462"/>
      <c r="E14" s="892"/>
      <c r="F14" s="461"/>
    </row>
    <row r="15" spans="1:6" ht="15">
      <c r="A15" s="618" t="s">
        <v>34</v>
      </c>
      <c r="B15" s="656" t="s">
        <v>35</v>
      </c>
      <c r="C15" s="569" t="s">
        <v>52</v>
      </c>
      <c r="D15" s="569" t="s">
        <v>51</v>
      </c>
      <c r="E15" s="850" t="s">
        <v>113</v>
      </c>
      <c r="F15" s="569" t="s">
        <v>36</v>
      </c>
    </row>
    <row r="16" spans="1:6" ht="25.5">
      <c r="A16" s="489">
        <v>1</v>
      </c>
      <c r="B16" s="453" t="s">
        <v>1574</v>
      </c>
      <c r="C16" s="479" t="s">
        <v>1575</v>
      </c>
      <c r="D16" s="468">
        <v>116.85</v>
      </c>
      <c r="E16" s="896"/>
      <c r="F16" s="468">
        <f>+D16*E16</f>
        <v>0</v>
      </c>
    </row>
    <row r="17" spans="1:6" ht="25.5">
      <c r="A17" s="489">
        <v>2</v>
      </c>
      <c r="B17" s="455" t="s">
        <v>1576</v>
      </c>
      <c r="C17" s="480" t="s">
        <v>183</v>
      </c>
      <c r="D17" s="468">
        <v>24</v>
      </c>
      <c r="E17" s="896"/>
      <c r="F17" s="468">
        <f>+D17*E17</f>
        <v>0</v>
      </c>
    </row>
    <row r="18" spans="1:6" ht="51">
      <c r="A18" s="489" t="s">
        <v>1577</v>
      </c>
      <c r="B18" s="456" t="s">
        <v>1578</v>
      </c>
      <c r="C18" s="481"/>
      <c r="D18" s="468"/>
      <c r="E18" s="896"/>
      <c r="F18" s="468"/>
    </row>
    <row r="19" spans="1:6" ht="12.75">
      <c r="A19" s="489"/>
      <c r="B19" s="454" t="s">
        <v>1579</v>
      </c>
      <c r="C19" s="482" t="s">
        <v>748</v>
      </c>
      <c r="D19" s="468">
        <v>1</v>
      </c>
      <c r="E19" s="896"/>
      <c r="F19" s="468">
        <f>+D19*E19</f>
        <v>0</v>
      </c>
    </row>
    <row r="20" spans="1:6" ht="12.75">
      <c r="A20" s="489"/>
      <c r="B20" s="454" t="s">
        <v>1580</v>
      </c>
      <c r="C20" s="482" t="s">
        <v>748</v>
      </c>
      <c r="D20" s="468">
        <v>1</v>
      </c>
      <c r="E20" s="896"/>
      <c r="F20" s="468">
        <f>+D20*E20</f>
        <v>0</v>
      </c>
    </row>
    <row r="21" spans="1:6" ht="25.5">
      <c r="A21" s="489" t="s">
        <v>1581</v>
      </c>
      <c r="B21" s="454" t="s">
        <v>1582</v>
      </c>
      <c r="C21" s="483" t="s">
        <v>702</v>
      </c>
      <c r="D21" s="470">
        <v>3</v>
      </c>
      <c r="E21" s="897"/>
      <c r="F21" s="471">
        <f aca="true" t="shared" si="0" ref="F21:F26">+D21*E21</f>
        <v>0</v>
      </c>
    </row>
    <row r="22" spans="1:6" ht="25.5">
      <c r="A22" s="489" t="s">
        <v>1583</v>
      </c>
      <c r="B22" s="454" t="s">
        <v>1584</v>
      </c>
      <c r="C22" s="483" t="s">
        <v>702</v>
      </c>
      <c r="D22" s="470">
        <v>3</v>
      </c>
      <c r="E22" s="897"/>
      <c r="F22" s="471">
        <f t="shared" si="0"/>
        <v>0</v>
      </c>
    </row>
    <row r="23" spans="1:6" ht="51">
      <c r="A23" s="489" t="s">
        <v>1585</v>
      </c>
      <c r="B23" s="453" t="s">
        <v>1586</v>
      </c>
      <c r="C23" s="484" t="s">
        <v>1587</v>
      </c>
      <c r="D23" s="471">
        <f>(30.63*1.4)+(4.64*0.95)+(81.58*0.95)</f>
        <v>124.791</v>
      </c>
      <c r="E23" s="897"/>
      <c r="F23" s="471">
        <f t="shared" si="0"/>
        <v>0</v>
      </c>
    </row>
    <row r="24" spans="1:6" ht="25.5">
      <c r="A24" s="489" t="s">
        <v>1588</v>
      </c>
      <c r="B24" s="457" t="s">
        <v>1589</v>
      </c>
      <c r="C24" s="484" t="s">
        <v>1587</v>
      </c>
      <c r="D24" s="471">
        <f>D23*0.05</f>
        <v>6.23955</v>
      </c>
      <c r="E24" s="897"/>
      <c r="F24" s="471">
        <f t="shared" si="0"/>
        <v>0</v>
      </c>
    </row>
    <row r="25" spans="1:6" ht="51">
      <c r="A25" s="489" t="s">
        <v>1590</v>
      </c>
      <c r="B25" s="457" t="s">
        <v>1591</v>
      </c>
      <c r="C25" s="484" t="s">
        <v>1587</v>
      </c>
      <c r="D25" s="471">
        <f>3.4*3</f>
        <v>10.2</v>
      </c>
      <c r="E25" s="897"/>
      <c r="F25" s="471">
        <f t="shared" si="0"/>
        <v>0</v>
      </c>
    </row>
    <row r="26" spans="1:6" ht="25.5">
      <c r="A26" s="489" t="s">
        <v>1592</v>
      </c>
      <c r="B26" s="453" t="s">
        <v>1593</v>
      </c>
      <c r="C26" s="480" t="s">
        <v>702</v>
      </c>
      <c r="D26" s="469">
        <f>D16*0.6</f>
        <v>70.11</v>
      </c>
      <c r="E26" s="896"/>
      <c r="F26" s="468">
        <f t="shared" si="0"/>
        <v>0</v>
      </c>
    </row>
    <row r="27" spans="1:6" ht="25.5">
      <c r="A27" s="490">
        <v>10</v>
      </c>
      <c r="B27" s="453" t="s">
        <v>1594</v>
      </c>
      <c r="C27" s="479" t="s">
        <v>1587</v>
      </c>
      <c r="D27" s="468">
        <f>49.56*0.15</f>
        <v>7.434</v>
      </c>
      <c r="E27" s="896"/>
      <c r="F27" s="468">
        <f>+ROUND((D27*E27),2)</f>
        <v>0</v>
      </c>
    </row>
    <row r="28" spans="1:6" ht="25.5">
      <c r="A28" s="490">
        <v>11</v>
      </c>
      <c r="B28" s="453" t="s">
        <v>1595</v>
      </c>
      <c r="C28" s="479" t="s">
        <v>1587</v>
      </c>
      <c r="D28" s="468">
        <f>67.29*0.5</f>
        <v>33.645</v>
      </c>
      <c r="E28" s="896"/>
      <c r="F28" s="468">
        <f>+ROUND((D28*E28),2)</f>
        <v>0</v>
      </c>
    </row>
    <row r="29" spans="1:6" ht="25.5">
      <c r="A29" s="489" t="s">
        <v>1596</v>
      </c>
      <c r="B29" s="458" t="s">
        <v>1597</v>
      </c>
      <c r="C29" s="485" t="s">
        <v>1575</v>
      </c>
      <c r="D29" s="472">
        <v>4.64</v>
      </c>
      <c r="E29" s="898"/>
      <c r="F29" s="468">
        <f aca="true" t="shared" si="1" ref="F29:F47">+D29*E29</f>
        <v>0</v>
      </c>
    </row>
    <row r="30" spans="1:6" ht="25.5">
      <c r="A30" s="489" t="s">
        <v>1598</v>
      </c>
      <c r="B30" s="458" t="s">
        <v>1599</v>
      </c>
      <c r="C30" s="485" t="s">
        <v>1575</v>
      </c>
      <c r="D30" s="472">
        <v>112.21</v>
      </c>
      <c r="E30" s="898"/>
      <c r="F30" s="468">
        <f t="shared" si="1"/>
        <v>0</v>
      </c>
    </row>
    <row r="31" spans="1:6" ht="25.5">
      <c r="A31" s="489" t="s">
        <v>1600</v>
      </c>
      <c r="B31" s="453" t="s">
        <v>1601</v>
      </c>
      <c r="C31" s="479" t="s">
        <v>1587</v>
      </c>
      <c r="D31" s="468">
        <v>88.35</v>
      </c>
      <c r="E31" s="896"/>
      <c r="F31" s="468">
        <f t="shared" si="1"/>
        <v>0</v>
      </c>
    </row>
    <row r="32" spans="1:6" ht="12.75">
      <c r="A32" s="489" t="s">
        <v>1602</v>
      </c>
      <c r="B32" s="453" t="s">
        <v>1603</v>
      </c>
      <c r="C32" s="479" t="s">
        <v>702</v>
      </c>
      <c r="D32" s="468">
        <f>D16*2</f>
        <v>233.7</v>
      </c>
      <c r="E32" s="896"/>
      <c r="F32" s="468">
        <f t="shared" si="1"/>
        <v>0</v>
      </c>
    </row>
    <row r="33" spans="1:6" ht="80.25" customHeight="1">
      <c r="A33" s="489" t="s">
        <v>1604</v>
      </c>
      <c r="B33" s="459" t="s">
        <v>1646</v>
      </c>
      <c r="C33" s="484" t="s">
        <v>183</v>
      </c>
      <c r="D33" s="471">
        <v>1</v>
      </c>
      <c r="E33" s="897"/>
      <c r="F33" s="471">
        <f t="shared" si="1"/>
        <v>0</v>
      </c>
    </row>
    <row r="34" spans="1:6" ht="78.75" customHeight="1">
      <c r="A34" s="489" t="s">
        <v>1605</v>
      </c>
      <c r="B34" s="459" t="s">
        <v>1647</v>
      </c>
      <c r="C34" s="484" t="s">
        <v>183</v>
      </c>
      <c r="D34" s="471">
        <v>3</v>
      </c>
      <c r="E34" s="897"/>
      <c r="F34" s="471">
        <f t="shared" si="1"/>
        <v>0</v>
      </c>
    </row>
    <row r="35" spans="1:6" ht="79.5" customHeight="1">
      <c r="A35" s="489" t="s">
        <v>1606</v>
      </c>
      <c r="B35" s="459" t="s">
        <v>1648</v>
      </c>
      <c r="C35" s="484" t="s">
        <v>183</v>
      </c>
      <c r="D35" s="471">
        <v>1</v>
      </c>
      <c r="E35" s="897"/>
      <c r="F35" s="471">
        <f t="shared" si="1"/>
        <v>0</v>
      </c>
    </row>
    <row r="36" spans="1:6" ht="38.25">
      <c r="A36" s="489" t="s">
        <v>1607</v>
      </c>
      <c r="B36" s="459" t="s">
        <v>1608</v>
      </c>
      <c r="C36" s="484" t="s">
        <v>183</v>
      </c>
      <c r="D36" s="471">
        <v>2</v>
      </c>
      <c r="E36" s="897"/>
      <c r="F36" s="471">
        <f t="shared" si="1"/>
        <v>0</v>
      </c>
    </row>
    <row r="37" spans="1:6" ht="25.5">
      <c r="A37" s="489" t="s">
        <v>1609</v>
      </c>
      <c r="B37" s="459" t="s">
        <v>1610</v>
      </c>
      <c r="C37" s="484" t="s">
        <v>183</v>
      </c>
      <c r="D37" s="471">
        <v>1</v>
      </c>
      <c r="E37" s="897"/>
      <c r="F37" s="471">
        <f t="shared" si="1"/>
        <v>0</v>
      </c>
    </row>
    <row r="38" spans="1:6" ht="41.25" customHeight="1">
      <c r="A38" s="489" t="s">
        <v>1611</v>
      </c>
      <c r="B38" s="459" t="s">
        <v>1612</v>
      </c>
      <c r="C38" s="484" t="s">
        <v>520</v>
      </c>
      <c r="D38" s="471">
        <v>1</v>
      </c>
      <c r="E38" s="897"/>
      <c r="F38" s="471">
        <f t="shared" si="1"/>
        <v>0</v>
      </c>
    </row>
    <row r="39" spans="1:6" ht="51">
      <c r="A39" s="489" t="s">
        <v>1613</v>
      </c>
      <c r="B39" s="459" t="s">
        <v>1649</v>
      </c>
      <c r="C39" s="484" t="s">
        <v>520</v>
      </c>
      <c r="D39" s="471">
        <v>5</v>
      </c>
      <c r="E39" s="897"/>
      <c r="F39" s="471">
        <f t="shared" si="1"/>
        <v>0</v>
      </c>
    </row>
    <row r="40" spans="1:6" ht="25.5">
      <c r="A40" s="489" t="s">
        <v>1614</v>
      </c>
      <c r="B40" s="459" t="s">
        <v>1615</v>
      </c>
      <c r="C40" s="484" t="s">
        <v>183</v>
      </c>
      <c r="D40" s="471">
        <v>3</v>
      </c>
      <c r="E40" s="897"/>
      <c r="F40" s="471">
        <f t="shared" si="1"/>
        <v>0</v>
      </c>
    </row>
    <row r="41" spans="1:6" ht="18" customHeight="1">
      <c r="A41" s="489" t="s">
        <v>1616</v>
      </c>
      <c r="B41" s="459" t="s">
        <v>1617</v>
      </c>
      <c r="C41" s="484" t="s">
        <v>183</v>
      </c>
      <c r="D41" s="471">
        <v>3</v>
      </c>
      <c r="E41" s="897"/>
      <c r="F41" s="471">
        <f t="shared" si="1"/>
        <v>0</v>
      </c>
    </row>
    <row r="42" spans="1:6" ht="51">
      <c r="A42" s="489" t="s">
        <v>1618</v>
      </c>
      <c r="B42" s="459" t="s">
        <v>1619</v>
      </c>
      <c r="C42" s="484" t="s">
        <v>183</v>
      </c>
      <c r="D42" s="471">
        <v>1</v>
      </c>
      <c r="E42" s="897"/>
      <c r="F42" s="471">
        <f t="shared" si="1"/>
        <v>0</v>
      </c>
    </row>
    <row r="43" spans="1:6" ht="28.5" customHeight="1">
      <c r="A43" s="489" t="s">
        <v>1620</v>
      </c>
      <c r="B43" s="459" t="s">
        <v>1621</v>
      </c>
      <c r="C43" s="484" t="s">
        <v>650</v>
      </c>
      <c r="D43" s="471">
        <v>36</v>
      </c>
      <c r="E43" s="897"/>
      <c r="F43" s="471">
        <f t="shared" si="1"/>
        <v>0</v>
      </c>
    </row>
    <row r="44" spans="1:6" ht="12.75">
      <c r="A44" s="489" t="s">
        <v>1622</v>
      </c>
      <c r="B44" s="453" t="s">
        <v>1623</v>
      </c>
      <c r="C44" s="480" t="s">
        <v>1575</v>
      </c>
      <c r="D44" s="469">
        <f>D16</f>
        <v>116.85</v>
      </c>
      <c r="E44" s="896"/>
      <c r="F44" s="468">
        <f t="shared" si="1"/>
        <v>0</v>
      </c>
    </row>
    <row r="45" spans="1:6" ht="25.5">
      <c r="A45" s="489" t="s">
        <v>1624</v>
      </c>
      <c r="B45" s="453" t="s">
        <v>1625</v>
      </c>
      <c r="C45" s="479" t="s">
        <v>1575</v>
      </c>
      <c r="D45" s="468">
        <f>+D44</f>
        <v>116.85</v>
      </c>
      <c r="E45" s="896"/>
      <c r="F45" s="468">
        <f t="shared" si="1"/>
        <v>0</v>
      </c>
    </row>
    <row r="46" spans="1:6" ht="25.5">
      <c r="A46" s="489" t="s">
        <v>1626</v>
      </c>
      <c r="B46" s="459" t="s">
        <v>1627</v>
      </c>
      <c r="C46" s="479" t="s">
        <v>183</v>
      </c>
      <c r="D46" s="468">
        <v>6</v>
      </c>
      <c r="E46" s="896"/>
      <c r="F46" s="468">
        <f t="shared" si="1"/>
        <v>0</v>
      </c>
    </row>
    <row r="47" spans="1:6" ht="12.75">
      <c r="A47" s="489" t="s">
        <v>1628</v>
      </c>
      <c r="B47" s="459" t="s">
        <v>1629</v>
      </c>
      <c r="C47" s="479" t="s">
        <v>1313</v>
      </c>
      <c r="D47" s="468">
        <v>4</v>
      </c>
      <c r="E47" s="896"/>
      <c r="F47" s="468">
        <f t="shared" si="1"/>
        <v>0</v>
      </c>
    </row>
    <row r="48" spans="1:6" ht="12.75">
      <c r="A48" s="487"/>
      <c r="B48" s="448"/>
      <c r="C48" s="476"/>
      <c r="D48" s="462"/>
      <c r="E48" s="889"/>
      <c r="F48" s="462"/>
    </row>
    <row r="49" spans="1:6" ht="13.5" thickBot="1">
      <c r="A49" s="487"/>
      <c r="B49" s="842" t="s">
        <v>1630</v>
      </c>
      <c r="C49" s="475"/>
      <c r="D49" s="462"/>
      <c r="E49" s="899" t="s">
        <v>1573</v>
      </c>
      <c r="F49" s="473">
        <f>SUM(F16:F47)</f>
        <v>0</v>
      </c>
    </row>
    <row r="50" spans="1:6" ht="13.5" thickTop="1">
      <c r="A50" s="487"/>
      <c r="B50" s="448"/>
      <c r="C50" s="475"/>
      <c r="D50" s="462"/>
      <c r="E50" s="892"/>
      <c r="F50" s="461"/>
    </row>
    <row r="51" spans="1:6" ht="12.75">
      <c r="A51" s="488" t="s">
        <v>78</v>
      </c>
      <c r="B51" s="842" t="s">
        <v>1572</v>
      </c>
      <c r="C51" s="475"/>
      <c r="D51" s="462"/>
      <c r="E51" s="892"/>
      <c r="F51" s="461"/>
    </row>
    <row r="52" spans="1:6" ht="12.75">
      <c r="A52" s="488"/>
      <c r="B52" s="842"/>
      <c r="C52" s="475"/>
      <c r="D52" s="462"/>
      <c r="E52" s="892"/>
      <c r="F52" s="461"/>
    </row>
    <row r="53" spans="1:6" ht="25.5">
      <c r="A53" s="489">
        <v>1</v>
      </c>
      <c r="B53" s="453" t="s">
        <v>1574</v>
      </c>
      <c r="C53" s="479" t="s">
        <v>1575</v>
      </c>
      <c r="D53" s="468">
        <v>47.2</v>
      </c>
      <c r="E53" s="896"/>
      <c r="F53" s="468">
        <f>+D53*E53</f>
        <v>0</v>
      </c>
    </row>
    <row r="54" spans="1:6" ht="25.5">
      <c r="A54" s="489">
        <v>2</v>
      </c>
      <c r="B54" s="455" t="s">
        <v>1576</v>
      </c>
      <c r="C54" s="480" t="s">
        <v>183</v>
      </c>
      <c r="D54" s="468">
        <v>16</v>
      </c>
      <c r="E54" s="896"/>
      <c r="F54" s="468">
        <f>+D54*E54</f>
        <v>0</v>
      </c>
    </row>
    <row r="55" spans="1:6" ht="51">
      <c r="A55" s="489" t="s">
        <v>1577</v>
      </c>
      <c r="B55" s="456" t="s">
        <v>1578</v>
      </c>
      <c r="C55" s="481"/>
      <c r="D55" s="468"/>
      <c r="E55" s="896"/>
      <c r="F55" s="468"/>
    </row>
    <row r="56" spans="1:6" ht="12.75">
      <c r="A56" s="489"/>
      <c r="B56" s="454" t="s">
        <v>1579</v>
      </c>
      <c r="C56" s="482" t="s">
        <v>748</v>
      </c>
      <c r="D56" s="468">
        <v>1</v>
      </c>
      <c r="E56" s="896"/>
      <c r="F56" s="468">
        <f>+D56*E56</f>
        <v>0</v>
      </c>
    </row>
    <row r="57" spans="1:6" ht="12.75">
      <c r="A57" s="489"/>
      <c r="B57" s="454" t="s">
        <v>1580</v>
      </c>
      <c r="C57" s="482" t="s">
        <v>748</v>
      </c>
      <c r="D57" s="468">
        <v>1</v>
      </c>
      <c r="E57" s="896"/>
      <c r="F57" s="468">
        <f>+D57*E57</f>
        <v>0</v>
      </c>
    </row>
    <row r="58" spans="1:6" ht="51">
      <c r="A58" s="489" t="s">
        <v>1581</v>
      </c>
      <c r="B58" s="453" t="s">
        <v>1586</v>
      </c>
      <c r="C58" s="484" t="s">
        <v>1587</v>
      </c>
      <c r="D58" s="471">
        <f>D53*0.8*0.8</f>
        <v>30.208000000000006</v>
      </c>
      <c r="E58" s="897"/>
      <c r="F58" s="471">
        <f>+D58*E58</f>
        <v>0</v>
      </c>
    </row>
    <row r="59" spans="1:6" ht="25.5">
      <c r="A59" s="489" t="s">
        <v>1583</v>
      </c>
      <c r="B59" s="457" t="s">
        <v>1589</v>
      </c>
      <c r="C59" s="484" t="s">
        <v>1587</v>
      </c>
      <c r="D59" s="471">
        <f>D58*0.15</f>
        <v>4.531200000000001</v>
      </c>
      <c r="E59" s="897"/>
      <c r="F59" s="471">
        <f>+D59*E59</f>
        <v>0</v>
      </c>
    </row>
    <row r="60" spans="1:6" ht="25.5">
      <c r="A60" s="489" t="s">
        <v>1585</v>
      </c>
      <c r="B60" s="453" t="s">
        <v>1593</v>
      </c>
      <c r="C60" s="480" t="s">
        <v>702</v>
      </c>
      <c r="D60" s="469">
        <f>D53*0.6</f>
        <v>28.32</v>
      </c>
      <c r="E60" s="896"/>
      <c r="F60" s="468">
        <f>+D60*E60</f>
        <v>0</v>
      </c>
    </row>
    <row r="61" spans="1:6" ht="25.5">
      <c r="A61" s="490">
        <v>7</v>
      </c>
      <c r="B61" s="453" t="s">
        <v>1595</v>
      </c>
      <c r="C61" s="479" t="s">
        <v>1587</v>
      </c>
      <c r="D61" s="468">
        <f>D53*0.5</f>
        <v>23.6</v>
      </c>
      <c r="E61" s="896"/>
      <c r="F61" s="468">
        <f>+ROUND((D61*E61),2)</f>
        <v>0</v>
      </c>
    </row>
    <row r="62" spans="1:6" ht="25.5">
      <c r="A62" s="489" t="s">
        <v>1590</v>
      </c>
      <c r="B62" s="458" t="s">
        <v>1631</v>
      </c>
      <c r="C62" s="485" t="s">
        <v>1575</v>
      </c>
      <c r="D62" s="472">
        <v>21.48</v>
      </c>
      <c r="E62" s="898"/>
      <c r="F62" s="468">
        <f>+D62*E62</f>
        <v>0</v>
      </c>
    </row>
    <row r="63" spans="1:6" ht="25.5">
      <c r="A63" s="489" t="s">
        <v>1592</v>
      </c>
      <c r="B63" s="458" t="s">
        <v>1632</v>
      </c>
      <c r="C63" s="485" t="s">
        <v>1575</v>
      </c>
      <c r="D63" s="472">
        <v>25.72</v>
      </c>
      <c r="E63" s="898"/>
      <c r="F63" s="468">
        <f>+D63*E63</f>
        <v>0</v>
      </c>
    </row>
    <row r="64" spans="1:6" ht="12.75">
      <c r="A64" s="489" t="s">
        <v>1633</v>
      </c>
      <c r="B64" s="453" t="s">
        <v>1603</v>
      </c>
      <c r="C64" s="479" t="s">
        <v>702</v>
      </c>
      <c r="D64" s="468">
        <f>D53*2</f>
        <v>94.4</v>
      </c>
      <c r="E64" s="896"/>
      <c r="F64" s="468">
        <f>+D64*E64</f>
        <v>0</v>
      </c>
    </row>
    <row r="65" spans="1:6" ht="78.75" customHeight="1">
      <c r="A65" s="489" t="s">
        <v>1634</v>
      </c>
      <c r="B65" s="459" t="s">
        <v>1650</v>
      </c>
      <c r="C65" s="484" t="s">
        <v>183</v>
      </c>
      <c r="D65" s="471">
        <v>2</v>
      </c>
      <c r="E65" s="897"/>
      <c r="F65" s="471">
        <f>+D65*E65</f>
        <v>0</v>
      </c>
    </row>
    <row r="66" spans="1:6" ht="12.75">
      <c r="A66" s="489" t="s">
        <v>1596</v>
      </c>
      <c r="B66" s="453" t="s">
        <v>1635</v>
      </c>
      <c r="C66" s="481"/>
      <c r="D66" s="468"/>
      <c r="E66" s="897"/>
      <c r="F66" s="471"/>
    </row>
    <row r="67" spans="1:6" ht="12.75">
      <c r="A67" s="489"/>
      <c r="B67" s="453" t="s">
        <v>1636</v>
      </c>
      <c r="C67" s="484" t="s">
        <v>183</v>
      </c>
      <c r="D67" s="468">
        <v>5</v>
      </c>
      <c r="E67" s="897"/>
      <c r="F67" s="471">
        <f aca="true" t="shared" si="2" ref="F67:F72">+D67*E67</f>
        <v>0</v>
      </c>
    </row>
    <row r="68" spans="1:6" ht="12.75">
      <c r="A68" s="489"/>
      <c r="B68" s="453" t="s">
        <v>1637</v>
      </c>
      <c r="C68" s="484" t="s">
        <v>183</v>
      </c>
      <c r="D68" s="468">
        <v>6</v>
      </c>
      <c r="E68" s="897"/>
      <c r="F68" s="471">
        <f t="shared" si="2"/>
        <v>0</v>
      </c>
    </row>
    <row r="69" spans="1:6" ht="12.75">
      <c r="A69" s="489"/>
      <c r="B69" s="453" t="s">
        <v>1638</v>
      </c>
      <c r="C69" s="484" t="s">
        <v>183</v>
      </c>
      <c r="D69" s="468">
        <v>4</v>
      </c>
      <c r="E69" s="897"/>
      <c r="F69" s="471">
        <f t="shared" si="2"/>
        <v>0</v>
      </c>
    </row>
    <row r="70" spans="1:6" ht="12.75">
      <c r="A70" s="489"/>
      <c r="B70" s="454" t="s">
        <v>1639</v>
      </c>
      <c r="C70" s="484" t="s">
        <v>183</v>
      </c>
      <c r="D70" s="468">
        <v>3</v>
      </c>
      <c r="E70" s="897"/>
      <c r="F70" s="471">
        <f t="shared" si="2"/>
        <v>0</v>
      </c>
    </row>
    <row r="71" spans="1:6" ht="12.75">
      <c r="A71" s="489"/>
      <c r="B71" s="454" t="s">
        <v>1640</v>
      </c>
      <c r="C71" s="484" t="s">
        <v>183</v>
      </c>
      <c r="D71" s="468">
        <v>10</v>
      </c>
      <c r="E71" s="897"/>
      <c r="F71" s="471">
        <f t="shared" si="2"/>
        <v>0</v>
      </c>
    </row>
    <row r="72" spans="1:6" ht="12.75">
      <c r="A72" s="489"/>
      <c r="B72" s="454" t="s">
        <v>1641</v>
      </c>
      <c r="C72" s="484" t="s">
        <v>183</v>
      </c>
      <c r="D72" s="468">
        <v>19</v>
      </c>
      <c r="E72" s="897"/>
      <c r="F72" s="471">
        <f t="shared" si="2"/>
        <v>0</v>
      </c>
    </row>
    <row r="73" spans="1:6" ht="12.75">
      <c r="A73" s="489"/>
      <c r="B73" s="454" t="s">
        <v>1642</v>
      </c>
      <c r="C73" s="484" t="s">
        <v>183</v>
      </c>
      <c r="D73" s="468">
        <v>18</v>
      </c>
      <c r="E73" s="897"/>
      <c r="F73" s="471">
        <f>+D73*E73</f>
        <v>0</v>
      </c>
    </row>
    <row r="74" spans="1:6" ht="12.75">
      <c r="A74" s="489" t="s">
        <v>1598</v>
      </c>
      <c r="B74" s="453" t="s">
        <v>1623</v>
      </c>
      <c r="C74" s="480" t="s">
        <v>1575</v>
      </c>
      <c r="D74" s="469">
        <f>+D62+D63</f>
        <v>47.2</v>
      </c>
      <c r="E74" s="896"/>
      <c r="F74" s="468">
        <f>+D74*E74</f>
        <v>0</v>
      </c>
    </row>
    <row r="75" spans="1:6" ht="25.5">
      <c r="A75" s="489" t="s">
        <v>1600</v>
      </c>
      <c r="B75" s="453" t="s">
        <v>1625</v>
      </c>
      <c r="C75" s="479" t="s">
        <v>1575</v>
      </c>
      <c r="D75" s="468">
        <f>+D74</f>
        <v>47.2</v>
      </c>
      <c r="E75" s="896"/>
      <c r="F75" s="468">
        <f>+D75*E75</f>
        <v>0</v>
      </c>
    </row>
    <row r="76" spans="1:6" ht="12.75">
      <c r="A76" s="489" t="s">
        <v>1602</v>
      </c>
      <c r="B76" s="459" t="s">
        <v>1643</v>
      </c>
      <c r="C76" s="479" t="s">
        <v>1313</v>
      </c>
      <c r="D76" s="468">
        <v>3</v>
      </c>
      <c r="E76" s="896"/>
      <c r="F76" s="468">
        <f>+D76*E76</f>
        <v>0</v>
      </c>
    </row>
    <row r="77" spans="1:6" ht="12.75">
      <c r="A77" s="489"/>
      <c r="B77" s="453"/>
      <c r="C77" s="482"/>
      <c r="D77" s="468"/>
      <c r="E77" s="900"/>
      <c r="F77" s="471"/>
    </row>
    <row r="78" spans="1:6" ht="13.5" thickBot="1">
      <c r="A78" s="488" t="s">
        <v>1644</v>
      </c>
      <c r="B78" s="460" t="s">
        <v>1645</v>
      </c>
      <c r="C78" s="475"/>
      <c r="D78" s="462"/>
      <c r="E78" s="899"/>
      <c r="F78" s="473">
        <f>SUM(F53:F77)</f>
        <v>0</v>
      </c>
    </row>
    <row r="79" ht="13.5" thickTop="1"/>
  </sheetData>
  <sheetProtection password="EE55" sheet="1" selectLockedCells="1"/>
  <printOptions/>
  <pageMargins left="0.49" right="0.11811023622047245" top="0.35433070866141736" bottom="0.35433070866141736" header="0.11811023622047245" footer="0.11811023622047245"/>
  <pageSetup horizontalDpi="600" verticalDpi="600" orientation="portrait" paperSize="9" r:id="rId1"/>
  <headerFooter>
    <oddHeader>&amp;L&amp;D&amp;R&amp;"Arial,Krepko"&amp;8BIRO APIS d.o.o.; Zemljemerska  ul.10; 1000 Ljlubljana</oddHeader>
    <oddFooter>&amp;L&amp;8&amp;F&amp;R&amp;P/&amp;N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VLADIMIR</cp:lastModifiedBy>
  <cp:lastPrinted>2016-06-21T14:37:45Z</cp:lastPrinted>
  <dcterms:created xsi:type="dcterms:W3CDTF">2005-03-16T17:37:02Z</dcterms:created>
  <dcterms:modified xsi:type="dcterms:W3CDTF">2016-06-23T06:26:36Z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1060</vt:i4>
  </property>
</Properties>
</file>