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128"/>
  <workbookPr defaultThemeVersion="166925"/>
  <mc:AlternateContent xmlns:mc="http://schemas.openxmlformats.org/markup-compatibility/2006">
    <mc:Choice Requires="x15">
      <x15ac:absPath xmlns:x15ac="http://schemas.microsoft.com/office/spreadsheetml/2010/11/ac" url="D:\O B J E K T I\Poljanska 15 Gestrinova RDEČA HIŠA\Popis del\"/>
    </mc:Choice>
  </mc:AlternateContent>
  <xr:revisionPtr revIDLastSave="0" documentId="13_ncr:1_{3CDA6F5A-D680-42C4-95E3-C71D70C5495A}" xr6:coauthVersionLast="47" xr6:coauthVersionMax="47" xr10:uidLastSave="{00000000-0000-0000-0000-000000000000}"/>
  <bookViews>
    <workbookView xWindow="-120" yWindow="-120" windowWidth="29040" windowHeight="15840" tabRatio="938" xr2:uid="{4B2A3441-CBC7-49EF-B9C7-C22E160AAFD9}"/>
  </bookViews>
  <sheets>
    <sheet name="REKAPITULACIJA SKUPNA" sheetId="23" r:id="rId1"/>
    <sheet name="REKAPITULACIJA I FAZA" sheetId="20" r:id="rId2"/>
    <sheet name="Poljanski nasip 12-ulična" sheetId="1" r:id="rId3"/>
    <sheet name="Poljanski nasip 14-ulična" sheetId="2" r:id="rId4"/>
    <sheet name="Gestrinova 5,7,8-ulična " sheetId="5" r:id="rId5"/>
    <sheet name="REKAPITULACIJA II FAZA" sheetId="22" r:id="rId6"/>
    <sheet name="Gestrinova 5,7,8-atrijska stran" sheetId="6" r:id="rId7"/>
    <sheet name="Gestrinova 2,4,6-atrijska stran" sheetId="7" r:id="rId8"/>
    <sheet name="Gestrinova 3-atrijska stran" sheetId="9" r:id="rId9"/>
    <sheet name="Poljanska cesta 15-atrij.stran" sheetId="18" r:id="rId10"/>
    <sheet name="Garaže" sheetId="14" r:id="rId11"/>
    <sheet name="Pasaže A,B,C,D in E" sheetId="15" r:id="rId12"/>
    <sheet name="REKAPITULACIJA III FAZA" sheetId="21" r:id="rId13"/>
    <sheet name="Poljanski nasip 12-dvoriščna" sheetId="4" r:id="rId14"/>
    <sheet name="Poljanski nasip 14-dvoriščna " sheetId="3" r:id="rId15"/>
    <sheet name="Gestrinova 2,4,6,8-dvoriščna " sheetId="8" r:id="rId16"/>
    <sheet name="Gestrinova 3-dvoriščna stran" sheetId="10" r:id="rId17"/>
    <sheet name="Poljanska cesta 15-ulična stran" sheetId="24" r:id="rId18"/>
    <sheet name="List1" sheetId="25" r:id="rId19"/>
  </sheets>
  <definedNames>
    <definedName name="_xlnm.Print_Area" localSheetId="10">Garaže!$A$1:$G$304</definedName>
    <definedName name="_xlnm.Print_Area" localSheetId="15">'Gestrinova 2,4,6,8-dvoriščna '!$A$1:$G$382</definedName>
    <definedName name="_xlnm.Print_Area" localSheetId="7">'Gestrinova 2,4,6-atrijska stran'!$A$1:$G$337</definedName>
    <definedName name="_xlnm.Print_Area" localSheetId="8">'Gestrinova 3-atrijska stran'!$A$1:$G$304</definedName>
    <definedName name="_xlnm.Print_Area" localSheetId="16">'Gestrinova 3-dvoriščna stran'!$A$1:$G$349</definedName>
    <definedName name="_xlnm.Print_Area" localSheetId="6">'Gestrinova 5,7,8-atrijska stran'!$A$1:$G$367</definedName>
    <definedName name="_xlnm.Print_Area" localSheetId="4">'Gestrinova 5,7,8-ulična '!$A$1:$G$403</definedName>
    <definedName name="_xlnm.Print_Area" localSheetId="11">'Pasaže A,B,C,D in E'!$A$1:$G$287</definedName>
    <definedName name="_xlnm.Print_Area" localSheetId="9">'Poljanska cesta 15-atrij.stran'!$A$1:$G$331</definedName>
    <definedName name="_xlnm.Print_Area" localSheetId="17">'Poljanska cesta 15-ulična stran'!$A$1:$G$369</definedName>
    <definedName name="_xlnm.Print_Area" localSheetId="13">'Poljanski nasip 12-dvoriščna'!$A$1:$G$411</definedName>
    <definedName name="_xlnm.Print_Area" localSheetId="2">'Poljanski nasip 12-ulična'!$A$1:$G$466</definedName>
    <definedName name="_xlnm.Print_Area" localSheetId="14">'Poljanski nasip 14-dvoriščna '!$A$1:$G$407</definedName>
    <definedName name="_xlnm.Print_Area" localSheetId="3">'Poljanski nasip 14-ulična'!$A$1:$G$469</definedName>
    <definedName name="_xlnm.Print_Area" localSheetId="1">'REKAPITULACIJA I FAZA'!$A$1:$E$47</definedName>
    <definedName name="_xlnm.Print_Area" localSheetId="5">'REKAPITULACIJA II FAZA'!$A$1:$E$52</definedName>
    <definedName name="_xlnm.Print_Area" localSheetId="12">'REKAPITULACIJA III FAZA'!$A$1:$E$51</definedName>
    <definedName name="_xlnm.Print_Area" localSheetId="0">'REKAPITULACIJA SKUPNA'!$A$1:$E$47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C22" i="22" l="1"/>
  <c r="G319" i="24"/>
  <c r="G286" i="24"/>
  <c r="G338" i="24"/>
  <c r="G340" i="24" s="1"/>
  <c r="G334" i="24"/>
  <c r="G332" i="24"/>
  <c r="G330" i="24"/>
  <c r="G328" i="24"/>
  <c r="G317" i="24"/>
  <c r="G315" i="24"/>
  <c r="G313" i="24"/>
  <c r="G309" i="24"/>
  <c r="G304" i="24"/>
  <c r="G302" i="24"/>
  <c r="G300" i="24"/>
  <c r="G296" i="24"/>
  <c r="G284" i="24"/>
  <c r="G276" i="24"/>
  <c r="G264" i="24"/>
  <c r="G246" i="24"/>
  <c r="G234" i="24"/>
  <c r="G176" i="24"/>
  <c r="G168" i="24"/>
  <c r="G164" i="24"/>
  <c r="G160" i="24"/>
  <c r="G156" i="24"/>
  <c r="G152" i="24"/>
  <c r="G120" i="24"/>
  <c r="G112" i="24"/>
  <c r="G104" i="24"/>
  <c r="G100" i="24"/>
  <c r="G96" i="24"/>
  <c r="C30" i="21"/>
  <c r="C280" i="24"/>
  <c r="G280" i="24" s="1"/>
  <c r="C260" i="24"/>
  <c r="G260" i="24" s="1"/>
  <c r="C256" i="24"/>
  <c r="G256" i="24" s="1"/>
  <c r="C254" i="24"/>
  <c r="G254" i="24" s="1"/>
  <c r="C250" i="24"/>
  <c r="G250" i="24" s="1"/>
  <c r="C244" i="24"/>
  <c r="G244" i="24" s="1"/>
  <c r="C221" i="24"/>
  <c r="G221" i="24" s="1"/>
  <c r="C217" i="24"/>
  <c r="G217" i="24" s="1"/>
  <c r="C215" i="24"/>
  <c r="G215" i="24" s="1"/>
  <c r="C180" i="24"/>
  <c r="G180" i="24" s="1"/>
  <c r="C132" i="24"/>
  <c r="C136" i="24" s="1"/>
  <c r="G136" i="24" s="1"/>
  <c r="C128" i="24"/>
  <c r="G128" i="24" s="1"/>
  <c r="C124" i="24"/>
  <c r="G124" i="24" s="1"/>
  <c r="C116" i="24"/>
  <c r="G116" i="24" s="1"/>
  <c r="C108" i="24"/>
  <c r="G108" i="24" s="1"/>
  <c r="C92" i="24"/>
  <c r="G92" i="24" s="1"/>
  <c r="G84" i="24"/>
  <c r="G86" i="24" s="1"/>
  <c r="G319" i="10"/>
  <c r="G315" i="10"/>
  <c r="G313" i="10"/>
  <c r="G295" i="10"/>
  <c r="G293" i="10"/>
  <c r="G289" i="10"/>
  <c r="G285" i="10"/>
  <c r="G283" i="10"/>
  <c r="G271" i="10"/>
  <c r="G267" i="10"/>
  <c r="G273" i="10" s="1"/>
  <c r="G255" i="10"/>
  <c r="G251" i="10"/>
  <c r="G215" i="10"/>
  <c r="G203" i="10"/>
  <c r="G217" i="10" s="1"/>
  <c r="G195" i="10"/>
  <c r="G187" i="10"/>
  <c r="G183" i="10"/>
  <c r="G149" i="10"/>
  <c r="G107" i="10"/>
  <c r="G103" i="10"/>
  <c r="G95" i="10"/>
  <c r="G91" i="10"/>
  <c r="G87" i="10"/>
  <c r="G83" i="10"/>
  <c r="G352" i="8"/>
  <c r="G348" i="8"/>
  <c r="G346" i="8"/>
  <c r="G322" i="8"/>
  <c r="G312" i="8"/>
  <c r="G300" i="8"/>
  <c r="G296" i="8"/>
  <c r="G302" i="8" s="1"/>
  <c r="G284" i="8"/>
  <c r="G244" i="8"/>
  <c r="G232" i="8"/>
  <c r="G224" i="8"/>
  <c r="G216" i="8"/>
  <c r="G144" i="8"/>
  <c r="G136" i="8"/>
  <c r="G132" i="8"/>
  <c r="G120" i="8"/>
  <c r="G116" i="8"/>
  <c r="G112" i="8"/>
  <c r="G213" i="3"/>
  <c r="G215" i="3"/>
  <c r="G288" i="3"/>
  <c r="G349" i="3"/>
  <c r="G377" i="3"/>
  <c r="G373" i="3"/>
  <c r="G310" i="3"/>
  <c r="G304" i="3"/>
  <c r="G300" i="3"/>
  <c r="G271" i="3"/>
  <c r="G290" i="3" s="1"/>
  <c r="G259" i="3"/>
  <c r="G235" i="3"/>
  <c r="G205" i="3"/>
  <c r="G94" i="3"/>
  <c r="G90" i="3"/>
  <c r="G78" i="3"/>
  <c r="G74" i="3"/>
  <c r="G70" i="3"/>
  <c r="C22" i="21"/>
  <c r="G377" i="4"/>
  <c r="G373" i="4"/>
  <c r="G371" i="4"/>
  <c r="G353" i="4"/>
  <c r="G311" i="4"/>
  <c r="G305" i="4"/>
  <c r="G301" i="4"/>
  <c r="G289" i="4"/>
  <c r="G272" i="4"/>
  <c r="G260" i="4"/>
  <c r="G236" i="4"/>
  <c r="G214" i="4"/>
  <c r="C32" i="22"/>
  <c r="G190" i="14"/>
  <c r="C26" i="22"/>
  <c r="C24" i="22"/>
  <c r="G307" i="6"/>
  <c r="G274" i="6"/>
  <c r="G262" i="6"/>
  <c r="G228" i="6"/>
  <c r="G220" i="6"/>
  <c r="C24" i="20"/>
  <c r="G347" i="5"/>
  <c r="G318" i="5"/>
  <c r="G293" i="5"/>
  <c r="C22" i="20"/>
  <c r="G436" i="1"/>
  <c r="G408" i="1"/>
  <c r="G345" i="1"/>
  <c r="C320" i="1"/>
  <c r="G320" i="1" s="1"/>
  <c r="G278" i="1"/>
  <c r="G271" i="1"/>
  <c r="G92" i="1"/>
  <c r="C26" i="23"/>
  <c r="C22" i="23"/>
  <c r="C24" i="23"/>
  <c r="C28" i="21"/>
  <c r="C26" i="21"/>
  <c r="C24" i="21"/>
  <c r="C30" i="22"/>
  <c r="C28" i="22"/>
  <c r="C26" i="20"/>
  <c r="G351" i="24" l="1"/>
  <c r="G132" i="24"/>
  <c r="C199" i="24"/>
  <c r="C268" i="24"/>
  <c r="G268" i="24" s="1"/>
  <c r="G270" i="24" s="1"/>
  <c r="G359" i="24"/>
  <c r="G363" i="24"/>
  <c r="G361" i="24"/>
  <c r="C144" i="24"/>
  <c r="G144" i="24" s="1"/>
  <c r="C140" i="24"/>
  <c r="G140" i="24" s="1"/>
  <c r="G297" i="10"/>
  <c r="G246" i="8"/>
  <c r="G291" i="4"/>
  <c r="G438" i="2"/>
  <c r="G381" i="4"/>
  <c r="G316" i="1"/>
  <c r="G312" i="1"/>
  <c r="G296" i="1"/>
  <c r="G263" i="1"/>
  <c r="G128" i="1"/>
  <c r="G124" i="1"/>
  <c r="G199" i="24" l="1"/>
  <c r="G357" i="24"/>
  <c r="C148" i="24"/>
  <c r="G148" i="24" s="1"/>
  <c r="G170" i="24" s="1"/>
  <c r="C219" i="18"/>
  <c r="G219" i="18" s="1"/>
  <c r="C213" i="18"/>
  <c r="C209" i="18"/>
  <c r="G209" i="18" s="1"/>
  <c r="C117" i="18"/>
  <c r="G117" i="18" s="1"/>
  <c r="C101" i="18"/>
  <c r="G101" i="18" s="1"/>
  <c r="C81" i="18"/>
  <c r="G81" i="18" s="1"/>
  <c r="G300" i="18"/>
  <c r="G296" i="18"/>
  <c r="G294" i="18"/>
  <c r="G292" i="18"/>
  <c r="G290" i="18"/>
  <c r="G272" i="18"/>
  <c r="G270" i="18"/>
  <c r="G268" i="18"/>
  <c r="G264" i="18"/>
  <c r="G259" i="18"/>
  <c r="G257" i="18"/>
  <c r="G255" i="18"/>
  <c r="G251" i="18"/>
  <c r="G274" i="18" s="1"/>
  <c r="G239" i="18"/>
  <c r="G235" i="18"/>
  <c r="G241" i="18" s="1"/>
  <c r="G223" i="18"/>
  <c r="C215" i="18"/>
  <c r="G215" i="18" s="1"/>
  <c r="G205" i="18"/>
  <c r="G203" i="18"/>
  <c r="G193" i="18"/>
  <c r="G195" i="18" s="1"/>
  <c r="G185" i="18"/>
  <c r="G177" i="18"/>
  <c r="C165" i="18"/>
  <c r="G165" i="18" s="1"/>
  <c r="C161" i="18"/>
  <c r="G161" i="18" s="1"/>
  <c r="G157" i="18"/>
  <c r="G153" i="18"/>
  <c r="C149" i="18"/>
  <c r="G149" i="18" s="1"/>
  <c r="G145" i="18"/>
  <c r="C121" i="18"/>
  <c r="C129" i="18" s="1"/>
  <c r="G113" i="18"/>
  <c r="G109" i="18"/>
  <c r="G105" i="18"/>
  <c r="G97" i="18"/>
  <c r="G93" i="18"/>
  <c r="G89" i="18"/>
  <c r="G85" i="18"/>
  <c r="G73" i="18"/>
  <c r="G75" i="18" s="1"/>
  <c r="C114" i="14"/>
  <c r="C74" i="14"/>
  <c r="G307" i="7"/>
  <c r="C303" i="7"/>
  <c r="G303" i="7" s="1"/>
  <c r="G299" i="7"/>
  <c r="G297" i="7"/>
  <c r="G295" i="7"/>
  <c r="C275" i="7"/>
  <c r="G275" i="7" s="1"/>
  <c r="G271" i="7"/>
  <c r="C266" i="7"/>
  <c r="C277" i="7" s="1"/>
  <c r="G277" i="7" s="1"/>
  <c r="G264" i="7"/>
  <c r="G260" i="7"/>
  <c r="G248" i="7"/>
  <c r="G244" i="7"/>
  <c r="G250" i="7" s="1"/>
  <c r="G232" i="7"/>
  <c r="C224" i="7"/>
  <c r="G224" i="7" s="1"/>
  <c r="C218" i="7"/>
  <c r="G218" i="7" s="1"/>
  <c r="G214" i="7"/>
  <c r="C202" i="7"/>
  <c r="G202" i="7" s="1"/>
  <c r="G198" i="7"/>
  <c r="G204" i="7" s="1"/>
  <c r="G190" i="7"/>
  <c r="G182" i="7"/>
  <c r="C178" i="7"/>
  <c r="G178" i="7" s="1"/>
  <c r="C166" i="7"/>
  <c r="G166" i="7" s="1"/>
  <c r="C162" i="7"/>
  <c r="G162" i="7" s="1"/>
  <c r="C150" i="7"/>
  <c r="G150" i="7" s="1"/>
  <c r="C122" i="7"/>
  <c r="C287" i="7" s="1"/>
  <c r="C291" i="7" s="1"/>
  <c r="G291" i="7" s="1"/>
  <c r="C118" i="7"/>
  <c r="G118" i="7" s="1"/>
  <c r="G110" i="7"/>
  <c r="G106" i="7"/>
  <c r="C102" i="7"/>
  <c r="G102" i="7" s="1"/>
  <c r="C98" i="7"/>
  <c r="G98" i="7" s="1"/>
  <c r="G94" i="7"/>
  <c r="C90" i="7"/>
  <c r="G90" i="7" s="1"/>
  <c r="G86" i="7"/>
  <c r="C82" i="7"/>
  <c r="G82" i="7" s="1"/>
  <c r="G74" i="7"/>
  <c r="G236" i="24" l="1"/>
  <c r="G355" i="24" s="1"/>
  <c r="G353" i="24"/>
  <c r="G76" i="7"/>
  <c r="G320" i="7" s="1"/>
  <c r="G324" i="7"/>
  <c r="C126" i="7"/>
  <c r="G126" i="7" s="1"/>
  <c r="G122" i="7"/>
  <c r="G328" i="7"/>
  <c r="G322" i="18"/>
  <c r="G266" i="7"/>
  <c r="C130" i="7"/>
  <c r="G130" i="7" s="1"/>
  <c r="C227" i="18"/>
  <c r="G227" i="18" s="1"/>
  <c r="C125" i="18"/>
  <c r="C133" i="18" s="1"/>
  <c r="G133" i="18" s="1"/>
  <c r="C169" i="18"/>
  <c r="G169" i="18" s="1"/>
  <c r="G318" i="18"/>
  <c r="G324" i="18"/>
  <c r="G121" i="18"/>
  <c r="C173" i="18"/>
  <c r="G173" i="18" s="1"/>
  <c r="C141" i="18"/>
  <c r="G141" i="18" s="1"/>
  <c r="G213" i="18"/>
  <c r="G229" i="18" s="1"/>
  <c r="C282" i="18"/>
  <c r="G314" i="18"/>
  <c r="C134" i="7"/>
  <c r="C174" i="7"/>
  <c r="G174" i="7" s="1"/>
  <c r="G287" i="7"/>
  <c r="C114" i="7"/>
  <c r="G344" i="24" l="1"/>
  <c r="G279" i="7"/>
  <c r="G330" i="7" s="1"/>
  <c r="G332" i="7"/>
  <c r="G309" i="7"/>
  <c r="C138" i="7"/>
  <c r="G138" i="7" s="1"/>
  <c r="C142" i="7"/>
  <c r="G142" i="7" s="1"/>
  <c r="G320" i="18"/>
  <c r="G125" i="18"/>
  <c r="C181" i="18"/>
  <c r="G129" i="18"/>
  <c r="C137" i="18"/>
  <c r="C286" i="18"/>
  <c r="G286" i="18" s="1"/>
  <c r="G282" i="18"/>
  <c r="C186" i="7"/>
  <c r="G186" i="7" s="1"/>
  <c r="G134" i="7"/>
  <c r="G114" i="7"/>
  <c r="C146" i="7"/>
  <c r="G346" i="24" l="1"/>
  <c r="G365" i="24" s="1"/>
  <c r="G302" i="18"/>
  <c r="G181" i="18"/>
  <c r="G137" i="18"/>
  <c r="G187" i="18" s="1"/>
  <c r="G326" i="18"/>
  <c r="G146" i="7"/>
  <c r="C154" i="7"/>
  <c r="G367" i="24" l="1"/>
  <c r="E30" i="21" s="1"/>
  <c r="G306" i="18"/>
  <c r="C158" i="7"/>
  <c r="G154" i="7"/>
  <c r="C170" i="7"/>
  <c r="G308" i="18" l="1"/>
  <c r="G328" i="18" s="1"/>
  <c r="G192" i="7"/>
  <c r="G316" i="18"/>
  <c r="C236" i="7"/>
  <c r="G236" i="7" s="1"/>
  <c r="C212" i="7"/>
  <c r="G170" i="7"/>
  <c r="G158" i="7"/>
  <c r="C228" i="7"/>
  <c r="G228" i="7" s="1"/>
  <c r="G330" i="18" l="1"/>
  <c r="E28" i="22"/>
  <c r="G322" i="7"/>
  <c r="C222" i="7"/>
  <c r="G222" i="7" s="1"/>
  <c r="G212" i="7"/>
  <c r="G238" i="7" s="1"/>
  <c r="G326" i="7" l="1"/>
  <c r="G313" i="7"/>
  <c r="G315" i="7" l="1"/>
  <c r="G334" i="7" s="1"/>
  <c r="G336" i="7" s="1"/>
  <c r="E24" i="22" s="1"/>
  <c r="G245" i="15"/>
  <c r="C213" i="15"/>
  <c r="C176" i="15"/>
  <c r="G176" i="15" s="1"/>
  <c r="C156" i="15"/>
  <c r="C160" i="15" s="1"/>
  <c r="C255" i="15" s="1"/>
  <c r="C152" i="15"/>
  <c r="G152" i="15" s="1"/>
  <c r="C140" i="15"/>
  <c r="G140" i="15" s="1"/>
  <c r="G263" i="15"/>
  <c r="G229" i="15"/>
  <c r="G217" i="15"/>
  <c r="G148" i="15"/>
  <c r="G144" i="15"/>
  <c r="G132" i="15"/>
  <c r="G134" i="15" s="1"/>
  <c r="C270" i="14"/>
  <c r="G270" i="14" s="1"/>
  <c r="G262" i="14"/>
  <c r="C234" i="14"/>
  <c r="G234" i="14" s="1"/>
  <c r="G236" i="14" s="1"/>
  <c r="C226" i="14"/>
  <c r="C218" i="14"/>
  <c r="G218" i="14" s="1"/>
  <c r="G200" i="14"/>
  <c r="C206" i="14"/>
  <c r="G206" i="14" s="1"/>
  <c r="G210" i="14"/>
  <c r="C196" i="14"/>
  <c r="G196" i="14" s="1"/>
  <c r="C158" i="14"/>
  <c r="C150" i="14"/>
  <c r="C142" i="14"/>
  <c r="C146" i="14" s="1"/>
  <c r="G146" i="14" s="1"/>
  <c r="C138" i="14"/>
  <c r="G138" i="14" s="1"/>
  <c r="C254" i="14"/>
  <c r="C258" i="14" s="1"/>
  <c r="G258" i="14" s="1"/>
  <c r="C110" i="14"/>
  <c r="G110" i="14" s="1"/>
  <c r="C106" i="14"/>
  <c r="G106" i="14" s="1"/>
  <c r="C94" i="14"/>
  <c r="G94" i="14" s="1"/>
  <c r="G74" i="14"/>
  <c r="G274" i="14"/>
  <c r="G266" i="14"/>
  <c r="G244" i="14"/>
  <c r="G246" i="14" s="1"/>
  <c r="G222" i="14"/>
  <c r="G214" i="14"/>
  <c r="G178" i="14"/>
  <c r="G180" i="14" s="1"/>
  <c r="G170" i="14"/>
  <c r="G162" i="14"/>
  <c r="G102" i="14"/>
  <c r="G98" i="14"/>
  <c r="G90" i="14"/>
  <c r="G86" i="14"/>
  <c r="G82" i="14"/>
  <c r="G78" i="14"/>
  <c r="G66" i="14"/>
  <c r="C235" i="10"/>
  <c r="G235" i="10" s="1"/>
  <c r="C171" i="10"/>
  <c r="C99" i="10"/>
  <c r="G99" i="10" s="1"/>
  <c r="C165" i="10"/>
  <c r="G165" i="10" s="1"/>
  <c r="C167" i="10"/>
  <c r="C159" i="10"/>
  <c r="G159" i="10" s="1"/>
  <c r="C161" i="10"/>
  <c r="G161" i="10" s="1"/>
  <c r="C153" i="10"/>
  <c r="G153" i="10" s="1"/>
  <c r="C155" i="10"/>
  <c r="G155" i="10" s="1"/>
  <c r="C139" i="10"/>
  <c r="G139" i="10" s="1"/>
  <c r="C133" i="10"/>
  <c r="G133" i="10" s="1"/>
  <c r="C119" i="10"/>
  <c r="C115" i="10"/>
  <c r="G115" i="10" s="1"/>
  <c r="C79" i="10"/>
  <c r="G79" i="10" s="1"/>
  <c r="C111" i="10"/>
  <c r="G111" i="10" s="1"/>
  <c r="G71" i="10"/>
  <c r="G252" i="9"/>
  <c r="C204" i="9"/>
  <c r="G204" i="9" s="1"/>
  <c r="C162" i="9"/>
  <c r="G162" i="9" s="1"/>
  <c r="C150" i="9"/>
  <c r="G150" i="9" s="1"/>
  <c r="C122" i="9"/>
  <c r="C126" i="9" s="1"/>
  <c r="C118" i="9"/>
  <c r="G118" i="9" s="1"/>
  <c r="C102" i="9"/>
  <c r="G102" i="9" s="1"/>
  <c r="C98" i="9"/>
  <c r="G98" i="9" s="1"/>
  <c r="C82" i="9"/>
  <c r="G82" i="9" s="1"/>
  <c r="G274" i="9"/>
  <c r="G270" i="9"/>
  <c r="G248" i="9"/>
  <c r="G232" i="9"/>
  <c r="G228" i="9"/>
  <c r="G216" i="9"/>
  <c r="G190" i="9"/>
  <c r="G192" i="9" s="1"/>
  <c r="G182" i="9"/>
  <c r="G174" i="9"/>
  <c r="G110" i="9"/>
  <c r="G106" i="9"/>
  <c r="G94" i="9"/>
  <c r="G90" i="9"/>
  <c r="G86" i="9"/>
  <c r="G74" i="9"/>
  <c r="G76" i="9" s="1"/>
  <c r="C318" i="8"/>
  <c r="G318" i="8" s="1"/>
  <c r="C316" i="8"/>
  <c r="C264" i="8"/>
  <c r="G264" i="8" s="1"/>
  <c r="C212" i="8"/>
  <c r="G212" i="8" s="1"/>
  <c r="C200" i="8"/>
  <c r="G200" i="8" s="1"/>
  <c r="C196" i="8"/>
  <c r="G196" i="8" s="1"/>
  <c r="C190" i="8"/>
  <c r="G190" i="8" s="1"/>
  <c r="C182" i="8"/>
  <c r="G182" i="8" s="1"/>
  <c r="C184" i="8"/>
  <c r="G184" i="8" s="1"/>
  <c r="C162" i="8"/>
  <c r="G162" i="8" s="1"/>
  <c r="C148" i="8"/>
  <c r="C128" i="8"/>
  <c r="G128" i="8" s="1"/>
  <c r="C124" i="8"/>
  <c r="G124" i="8" s="1"/>
  <c r="C108" i="8"/>
  <c r="G108" i="8" s="1"/>
  <c r="G100" i="8"/>
  <c r="G102" i="8" s="1"/>
  <c r="C123" i="10" l="1"/>
  <c r="G123" i="10" s="1"/>
  <c r="G119" i="10"/>
  <c r="C179" i="10"/>
  <c r="G179" i="10" s="1"/>
  <c r="G171" i="10"/>
  <c r="G73" i="10"/>
  <c r="G332" i="10" s="1"/>
  <c r="C231" i="10"/>
  <c r="G167" i="10"/>
  <c r="C326" i="8"/>
  <c r="G326" i="8" s="1"/>
  <c r="G316" i="8"/>
  <c r="C338" i="8"/>
  <c r="G148" i="8"/>
  <c r="G247" i="15"/>
  <c r="G68" i="14"/>
  <c r="G287" i="14" s="1"/>
  <c r="G234" i="9"/>
  <c r="C227" i="10"/>
  <c r="C241" i="10" s="1"/>
  <c r="G241" i="10" s="1"/>
  <c r="G280" i="15"/>
  <c r="C221" i="15"/>
  <c r="G213" i="15"/>
  <c r="C168" i="15"/>
  <c r="C172" i="15" s="1"/>
  <c r="G172" i="15" s="1"/>
  <c r="C164" i="15"/>
  <c r="G164" i="15" s="1"/>
  <c r="G156" i="15"/>
  <c r="G276" i="15"/>
  <c r="C154" i="14"/>
  <c r="C188" i="14" s="1"/>
  <c r="C204" i="14" s="1"/>
  <c r="G204" i="14" s="1"/>
  <c r="G291" i="14"/>
  <c r="G295" i="14"/>
  <c r="C122" i="14"/>
  <c r="G150" i="14"/>
  <c r="G192" i="14"/>
  <c r="G158" i="14"/>
  <c r="G297" i="14"/>
  <c r="G254" i="14"/>
  <c r="G276" i="14" s="1"/>
  <c r="C118" i="14"/>
  <c r="C126" i="14" s="1"/>
  <c r="G142" i="14"/>
  <c r="G114" i="14"/>
  <c r="G340" i="10"/>
  <c r="C175" i="10"/>
  <c r="G175" i="10" s="1"/>
  <c r="C225" i="10"/>
  <c r="G225" i="10" s="1"/>
  <c r="C127" i="10"/>
  <c r="G127" i="10" s="1"/>
  <c r="G336" i="10"/>
  <c r="C131" i="10"/>
  <c r="G131" i="10" s="1"/>
  <c r="C305" i="10"/>
  <c r="G305" i="10" s="1"/>
  <c r="G244" i="9"/>
  <c r="G254" i="9" s="1"/>
  <c r="G295" i="9"/>
  <c r="G291" i="9"/>
  <c r="C170" i="9"/>
  <c r="G170" i="9" s="1"/>
  <c r="C114" i="9"/>
  <c r="G114" i="9" s="1"/>
  <c r="G287" i="9"/>
  <c r="G126" i="9"/>
  <c r="C134" i="9"/>
  <c r="G134" i="9" s="1"/>
  <c r="C130" i="9"/>
  <c r="G122" i="9"/>
  <c r="C262" i="9"/>
  <c r="G369" i="8"/>
  <c r="C256" i="8"/>
  <c r="C260" i="8"/>
  <c r="G260" i="8" s="1"/>
  <c r="C168" i="8"/>
  <c r="G168" i="8" s="1"/>
  <c r="C152" i="8"/>
  <c r="G152" i="8" s="1"/>
  <c r="G373" i="8"/>
  <c r="C156" i="8"/>
  <c r="G156" i="8" s="1"/>
  <c r="C328" i="8"/>
  <c r="G328" i="8" s="1"/>
  <c r="C140" i="8"/>
  <c r="G140" i="8" s="1"/>
  <c r="C208" i="8"/>
  <c r="G208" i="8" s="1"/>
  <c r="G365" i="8"/>
  <c r="G329" i="6"/>
  <c r="G323" i="6"/>
  <c r="C303" i="6"/>
  <c r="C301" i="6"/>
  <c r="G301" i="6" s="1"/>
  <c r="C292" i="6"/>
  <c r="C305" i="6" s="1"/>
  <c r="C110" i="6"/>
  <c r="G110" i="6" s="1"/>
  <c r="C150" i="6"/>
  <c r="C154" i="6" s="1"/>
  <c r="G194" i="6"/>
  <c r="C252" i="6"/>
  <c r="G252" i="6" s="1"/>
  <c r="C242" i="6"/>
  <c r="G242" i="6" s="1"/>
  <c r="C190" i="6"/>
  <c r="G190" i="6" s="1"/>
  <c r="C182" i="6"/>
  <c r="C186" i="6" s="1"/>
  <c r="C106" i="6"/>
  <c r="G106" i="6" s="1"/>
  <c r="C178" i="6"/>
  <c r="G178" i="6" s="1"/>
  <c r="C146" i="6"/>
  <c r="G146" i="6" s="1"/>
  <c r="C130" i="6"/>
  <c r="G130" i="6" s="1"/>
  <c r="C126" i="6"/>
  <c r="G126" i="6" s="1"/>
  <c r="G337" i="6"/>
  <c r="G339" i="6" s="1"/>
  <c r="G333" i="6"/>
  <c r="G297" i="6"/>
  <c r="G325" i="6"/>
  <c r="G284" i="6"/>
  <c r="G272" i="6"/>
  <c r="G268" i="6"/>
  <c r="G256" i="6"/>
  <c r="C248" i="6"/>
  <c r="G248" i="6" s="1"/>
  <c r="G226" i="6"/>
  <c r="G354" i="6" s="1"/>
  <c r="G218" i="6"/>
  <c r="G210" i="6"/>
  <c r="G202" i="6"/>
  <c r="G138" i="6"/>
  <c r="G134" i="6"/>
  <c r="G122" i="6"/>
  <c r="C118" i="6"/>
  <c r="G118" i="6" s="1"/>
  <c r="C114" i="6"/>
  <c r="G114" i="6" s="1"/>
  <c r="G98" i="6"/>
  <c r="G100" i="6" s="1"/>
  <c r="G369" i="5"/>
  <c r="C334" i="5"/>
  <c r="C345" i="5" s="1"/>
  <c r="C332" i="5"/>
  <c r="G332" i="5" s="1"/>
  <c r="C291" i="5"/>
  <c r="C283" i="5"/>
  <c r="G283" i="5" s="1"/>
  <c r="C273" i="5"/>
  <c r="G273" i="5" s="1"/>
  <c r="C279" i="5"/>
  <c r="C269" i="5" s="1"/>
  <c r="C226" i="5"/>
  <c r="C238" i="5" s="1"/>
  <c r="G238" i="5" s="1"/>
  <c r="C176" i="5"/>
  <c r="G176" i="5" s="1"/>
  <c r="C136" i="5"/>
  <c r="C140" i="5" s="1"/>
  <c r="C132" i="5"/>
  <c r="G132" i="5" s="1"/>
  <c r="C116" i="5"/>
  <c r="G116" i="5" s="1"/>
  <c r="C112" i="5"/>
  <c r="G112" i="5" s="1"/>
  <c r="C96" i="5"/>
  <c r="G96" i="5" s="1"/>
  <c r="G373" i="5"/>
  <c r="G375" i="5" s="1"/>
  <c r="G339" i="5"/>
  <c r="G328" i="5"/>
  <c r="G316" i="5"/>
  <c r="G299" i="5"/>
  <c r="G287" i="5"/>
  <c r="G258" i="5"/>
  <c r="G259" i="5" s="1"/>
  <c r="G390" i="5" s="1"/>
  <c r="G250" i="5"/>
  <c r="G242" i="5"/>
  <c r="G124" i="5"/>
  <c r="G120" i="5"/>
  <c r="G108" i="5"/>
  <c r="C104" i="5"/>
  <c r="G104" i="5" s="1"/>
  <c r="C100" i="5"/>
  <c r="G100" i="5" s="1"/>
  <c r="G88" i="5"/>
  <c r="G370" i="2"/>
  <c r="G368" i="1"/>
  <c r="C366" i="2"/>
  <c r="C376" i="2" s="1"/>
  <c r="G376" i="2" s="1"/>
  <c r="C374" i="2"/>
  <c r="G374" i="2" s="1"/>
  <c r="C311" i="2"/>
  <c r="G311" i="2" s="1"/>
  <c r="C291" i="2"/>
  <c r="G291" i="2" s="1"/>
  <c r="C249" i="2"/>
  <c r="G249" i="2" s="1"/>
  <c r="C233" i="2"/>
  <c r="G233" i="2" s="1"/>
  <c r="C182" i="2"/>
  <c r="G182" i="2" s="1"/>
  <c r="C141" i="2"/>
  <c r="C145" i="2" s="1"/>
  <c r="C134" i="2"/>
  <c r="C165" i="2" s="1"/>
  <c r="C122" i="2"/>
  <c r="G122" i="2" s="1"/>
  <c r="C118" i="2"/>
  <c r="G118" i="2" s="1"/>
  <c r="C102" i="2"/>
  <c r="G102" i="2" s="1"/>
  <c r="C369" i="3"/>
  <c r="G369" i="3" s="1"/>
  <c r="C367" i="3"/>
  <c r="G367" i="3" s="1"/>
  <c r="C306" i="3"/>
  <c r="C251" i="3"/>
  <c r="G251" i="3" s="1"/>
  <c r="C231" i="3"/>
  <c r="C189" i="3"/>
  <c r="G189" i="3" s="1"/>
  <c r="C173" i="3"/>
  <c r="C133" i="3"/>
  <c r="G133" i="3" s="1"/>
  <c r="C105" i="3"/>
  <c r="C98" i="3"/>
  <c r="G98" i="3" s="1"/>
  <c r="C86" i="3"/>
  <c r="G86" i="3" s="1"/>
  <c r="C82" i="3"/>
  <c r="G82" i="3" s="1"/>
  <c r="C66" i="3"/>
  <c r="G66" i="3" s="1"/>
  <c r="C314" i="3"/>
  <c r="G314" i="3" s="1"/>
  <c r="C255" i="3"/>
  <c r="G255" i="3" s="1"/>
  <c r="C239" i="3"/>
  <c r="G239" i="3" s="1"/>
  <c r="C247" i="3"/>
  <c r="G247" i="3" s="1"/>
  <c r="G221" i="3"/>
  <c r="G58" i="3"/>
  <c r="G361" i="1"/>
  <c r="C308" i="1"/>
  <c r="G308" i="1" s="1"/>
  <c r="C290" i="1"/>
  <c r="G290" i="1" s="1"/>
  <c r="C288" i="1"/>
  <c r="C300" i="1" s="1"/>
  <c r="G300" i="1" s="1"/>
  <c r="C247" i="1"/>
  <c r="G247" i="1" s="1"/>
  <c r="C232" i="1"/>
  <c r="G232" i="1" s="1"/>
  <c r="C180" i="1"/>
  <c r="G180" i="1" s="1"/>
  <c r="C163" i="1"/>
  <c r="G163" i="1" s="1"/>
  <c r="C139" i="1"/>
  <c r="C418" i="1" s="1"/>
  <c r="C422" i="1" s="1"/>
  <c r="G422" i="1" s="1"/>
  <c r="C135" i="1"/>
  <c r="G135" i="1" s="1"/>
  <c r="C132" i="1"/>
  <c r="G132" i="1" s="1"/>
  <c r="C120" i="1"/>
  <c r="G120" i="1" s="1"/>
  <c r="C116" i="1"/>
  <c r="G116" i="1" s="1"/>
  <c r="C112" i="1"/>
  <c r="G112" i="1" s="1"/>
  <c r="C108" i="1"/>
  <c r="G108" i="1" s="1"/>
  <c r="C104" i="1"/>
  <c r="G104" i="1" s="1"/>
  <c r="C100" i="1"/>
  <c r="C307" i="4"/>
  <c r="C315" i="4"/>
  <c r="G315" i="4" s="1"/>
  <c r="C256" i="4"/>
  <c r="G256" i="4" s="1"/>
  <c r="C252" i="4"/>
  <c r="G252" i="4" s="1"/>
  <c r="C234" i="4"/>
  <c r="C232" i="4"/>
  <c r="G232" i="4" s="1"/>
  <c r="C130" i="4"/>
  <c r="C153" i="4" s="1"/>
  <c r="G153" i="4" s="1"/>
  <c r="C190" i="4"/>
  <c r="G190" i="4" s="1"/>
  <c r="C175" i="4"/>
  <c r="C202" i="4" s="1"/>
  <c r="G202" i="4" s="1"/>
  <c r="C134" i="4"/>
  <c r="G134" i="4" s="1"/>
  <c r="C106" i="4"/>
  <c r="G106" i="4" s="1"/>
  <c r="C102" i="4"/>
  <c r="G102" i="4" s="1"/>
  <c r="C99" i="4"/>
  <c r="G99" i="4" s="1"/>
  <c r="C87" i="4"/>
  <c r="G87" i="4" s="1"/>
  <c r="C83" i="4"/>
  <c r="G83" i="4" s="1"/>
  <c r="C67" i="4"/>
  <c r="G67" i="4" s="1"/>
  <c r="C240" i="4"/>
  <c r="G240" i="4" s="1"/>
  <c r="C248" i="4"/>
  <c r="G248" i="4" s="1"/>
  <c r="G222" i="4"/>
  <c r="G206" i="4"/>
  <c r="G95" i="4"/>
  <c r="G91" i="4"/>
  <c r="G79" i="4"/>
  <c r="G75" i="4"/>
  <c r="G71" i="4"/>
  <c r="G59" i="4"/>
  <c r="G315" i="2"/>
  <c r="C295" i="2"/>
  <c r="G295" i="2" s="1"/>
  <c r="G94" i="2"/>
  <c r="G94" i="1"/>
  <c r="G434" i="2"/>
  <c r="G428" i="2"/>
  <c r="G410" i="2"/>
  <c r="G364" i="2"/>
  <c r="G360" i="2"/>
  <c r="G348" i="2"/>
  <c r="G331" i="2"/>
  <c r="G350" i="2" s="1"/>
  <c r="G319" i="2"/>
  <c r="G299" i="2"/>
  <c r="G281" i="2"/>
  <c r="G273" i="2"/>
  <c r="G265" i="2"/>
  <c r="G130" i="2"/>
  <c r="G126" i="2"/>
  <c r="G114" i="2"/>
  <c r="G110" i="2"/>
  <c r="G106" i="2"/>
  <c r="G432" i="1"/>
  <c r="G363" i="1"/>
  <c r="C374" i="1"/>
  <c r="G374" i="1" s="1"/>
  <c r="G357" i="1"/>
  <c r="G328" i="1"/>
  <c r="G347" i="1" s="1"/>
  <c r="C292" i="1"/>
  <c r="G292" i="1" s="1"/>
  <c r="G280" i="1"/>
  <c r="C245" i="10" l="1"/>
  <c r="G245" i="10" s="1"/>
  <c r="G231" i="10"/>
  <c r="C342" i="8"/>
  <c r="G342" i="8" s="1"/>
  <c r="G338" i="8"/>
  <c r="G354" i="8" s="1"/>
  <c r="G377" i="8" s="1"/>
  <c r="G330" i="8"/>
  <c r="G375" i="8" s="1"/>
  <c r="C270" i="8"/>
  <c r="G270" i="8" s="1"/>
  <c r="G256" i="8"/>
  <c r="G223" i="3"/>
  <c r="G394" i="3" s="1"/>
  <c r="G60" i="3"/>
  <c r="G390" i="3" s="1"/>
  <c r="C201" i="3"/>
  <c r="G201" i="3" s="1"/>
  <c r="G173" i="3"/>
  <c r="C113" i="3"/>
  <c r="G113" i="3" s="1"/>
  <c r="G105" i="3"/>
  <c r="C243" i="3"/>
  <c r="G243" i="3" s="1"/>
  <c r="G231" i="3"/>
  <c r="C316" i="3"/>
  <c r="G316" i="3" s="1"/>
  <c r="G306" i="3"/>
  <c r="C317" i="4"/>
  <c r="G317" i="4" s="1"/>
  <c r="G307" i="4"/>
  <c r="C246" i="4"/>
  <c r="G246" i="4" s="1"/>
  <c r="G234" i="4"/>
  <c r="G224" i="4"/>
  <c r="G398" i="4" s="1"/>
  <c r="G61" i="4"/>
  <c r="G394" i="4" s="1"/>
  <c r="G90" i="5"/>
  <c r="G386" i="5" s="1"/>
  <c r="G283" i="2"/>
  <c r="G456" i="2" s="1"/>
  <c r="G96" i="2"/>
  <c r="G452" i="2" s="1"/>
  <c r="G453" i="1"/>
  <c r="C137" i="2"/>
  <c r="G137" i="2" s="1"/>
  <c r="C143" i="1"/>
  <c r="G143" i="1" s="1"/>
  <c r="G139" i="1"/>
  <c r="G168" i="15"/>
  <c r="G221" i="15"/>
  <c r="G160" i="15"/>
  <c r="G223" i="15" s="1"/>
  <c r="C259" i="15"/>
  <c r="G259" i="15" s="1"/>
  <c r="G255" i="15"/>
  <c r="G299" i="14"/>
  <c r="G188" i="14"/>
  <c r="G122" i="14"/>
  <c r="C130" i="14"/>
  <c r="G130" i="14" s="1"/>
  <c r="G226" i="14"/>
  <c r="G154" i="14"/>
  <c r="G118" i="14"/>
  <c r="C137" i="10"/>
  <c r="C145" i="10"/>
  <c r="G145" i="10" s="1"/>
  <c r="G342" i="10"/>
  <c r="C191" i="10"/>
  <c r="G191" i="10" s="1"/>
  <c r="C309" i="10"/>
  <c r="G309" i="10" s="1"/>
  <c r="G321" i="10" s="1"/>
  <c r="G297" i="9"/>
  <c r="C146" i="9"/>
  <c r="C154" i="9" s="1"/>
  <c r="C158" i="9" s="1"/>
  <c r="G262" i="9"/>
  <c r="G276" i="9" s="1"/>
  <c r="C266" i="9"/>
  <c r="G266" i="9" s="1"/>
  <c r="C138" i="9"/>
  <c r="G138" i="9" s="1"/>
  <c r="G130" i="9"/>
  <c r="C142" i="9"/>
  <c r="G142" i="9" s="1"/>
  <c r="C178" i="9"/>
  <c r="G178" i="9" s="1"/>
  <c r="C274" i="8"/>
  <c r="G274" i="8" s="1"/>
  <c r="C174" i="8"/>
  <c r="G174" i="8" s="1"/>
  <c r="C166" i="8"/>
  <c r="G166" i="8" s="1"/>
  <c r="C160" i="8"/>
  <c r="C178" i="8"/>
  <c r="G178" i="8" s="1"/>
  <c r="G292" i="6"/>
  <c r="C198" i="6"/>
  <c r="C206" i="6"/>
  <c r="G206" i="6" s="1"/>
  <c r="G305" i="6"/>
  <c r="G290" i="6"/>
  <c r="C238" i="6"/>
  <c r="G238" i="6" s="1"/>
  <c r="G358" i="6"/>
  <c r="C315" i="6"/>
  <c r="G150" i="6"/>
  <c r="G327" i="6"/>
  <c r="C158" i="6"/>
  <c r="G303" i="6"/>
  <c r="C162" i="6"/>
  <c r="G154" i="6"/>
  <c r="G350" i="6"/>
  <c r="C142" i="6"/>
  <c r="C343" i="5"/>
  <c r="G343" i="5" s="1"/>
  <c r="C363" i="5"/>
  <c r="G363" i="5" s="1"/>
  <c r="C365" i="5"/>
  <c r="G365" i="5" s="1"/>
  <c r="G279" i="5"/>
  <c r="G334" i="5"/>
  <c r="C355" i="5"/>
  <c r="C359" i="5" s="1"/>
  <c r="G359" i="5" s="1"/>
  <c r="G394" i="5"/>
  <c r="C128" i="5"/>
  <c r="G136" i="5"/>
  <c r="G345" i="5"/>
  <c r="G226" i="5"/>
  <c r="C144" i="5"/>
  <c r="G269" i="5"/>
  <c r="G460" i="2"/>
  <c r="C430" i="2"/>
  <c r="G430" i="2" s="1"/>
  <c r="C101" i="3"/>
  <c r="G101" i="3" s="1"/>
  <c r="C428" i="1"/>
  <c r="G428" i="1" s="1"/>
  <c r="C420" i="2"/>
  <c r="C424" i="2" s="1"/>
  <c r="G424" i="2" s="1"/>
  <c r="G366" i="2"/>
  <c r="G398" i="3"/>
  <c r="C109" i="3"/>
  <c r="G109" i="3" s="1"/>
  <c r="C129" i="3"/>
  <c r="G129" i="3" s="1"/>
  <c r="C359" i="3"/>
  <c r="G359" i="3" s="1"/>
  <c r="C372" i="1"/>
  <c r="G130" i="4"/>
  <c r="C114" i="4"/>
  <c r="C126" i="4" s="1"/>
  <c r="G126" i="4" s="1"/>
  <c r="G175" i="4"/>
  <c r="C363" i="4"/>
  <c r="C110" i="4"/>
  <c r="C244" i="4"/>
  <c r="G244" i="4" s="1"/>
  <c r="G402" i="4"/>
  <c r="C171" i="4"/>
  <c r="C194" i="4"/>
  <c r="G194" i="4" s="1"/>
  <c r="G165" i="2"/>
  <c r="C200" i="2"/>
  <c r="C253" i="2" s="1"/>
  <c r="G253" i="2" s="1"/>
  <c r="C261" i="2"/>
  <c r="G261" i="2" s="1"/>
  <c r="G134" i="2"/>
  <c r="C303" i="2"/>
  <c r="G303" i="2" s="1"/>
  <c r="C307" i="2"/>
  <c r="G307" i="2" s="1"/>
  <c r="G145" i="2"/>
  <c r="G141" i="2"/>
  <c r="C149" i="2"/>
  <c r="G418" i="1"/>
  <c r="G457" i="1"/>
  <c r="C302" i="1"/>
  <c r="G302" i="1" s="1"/>
  <c r="C304" i="1"/>
  <c r="G304" i="1" s="1"/>
  <c r="G288" i="1"/>
  <c r="C199" i="1"/>
  <c r="G100" i="1"/>
  <c r="G449" i="1"/>
  <c r="C143" i="10" l="1"/>
  <c r="G143" i="10" s="1"/>
  <c r="G137" i="10"/>
  <c r="G197" i="10" s="1"/>
  <c r="C220" i="8"/>
  <c r="G220" i="8" s="1"/>
  <c r="G160" i="8"/>
  <c r="G351" i="3"/>
  <c r="G400" i="3" s="1"/>
  <c r="C125" i="3"/>
  <c r="G125" i="3" s="1"/>
  <c r="C121" i="3"/>
  <c r="G121" i="3" s="1"/>
  <c r="G355" i="4"/>
  <c r="C367" i="4"/>
  <c r="G367" i="4" s="1"/>
  <c r="G363" i="4"/>
  <c r="G265" i="15"/>
  <c r="G228" i="14"/>
  <c r="G412" i="2"/>
  <c r="G462" i="2" s="1"/>
  <c r="G322" i="1"/>
  <c r="C217" i="1"/>
  <c r="G217" i="1" s="1"/>
  <c r="G199" i="1"/>
  <c r="G420" i="2"/>
  <c r="G440" i="2" s="1"/>
  <c r="G404" i="4"/>
  <c r="G344" i="10"/>
  <c r="G282" i="15"/>
  <c r="G293" i="14"/>
  <c r="C134" i="14"/>
  <c r="G134" i="14" s="1"/>
  <c r="G126" i="14"/>
  <c r="C166" i="14"/>
  <c r="G166" i="14" s="1"/>
  <c r="G146" i="9"/>
  <c r="G299" i="9"/>
  <c r="C166" i="9"/>
  <c r="C220" i="9" s="1"/>
  <c r="G154" i="9"/>
  <c r="C172" i="8"/>
  <c r="G172" i="8" s="1"/>
  <c r="C188" i="8"/>
  <c r="C236" i="6"/>
  <c r="C246" i="6" s="1"/>
  <c r="C260" i="6"/>
  <c r="G260" i="6" s="1"/>
  <c r="G360" i="6"/>
  <c r="C170" i="6"/>
  <c r="G170" i="6" s="1"/>
  <c r="G158" i="6"/>
  <c r="C319" i="6"/>
  <c r="G319" i="6" s="1"/>
  <c r="G315" i="6"/>
  <c r="C166" i="6"/>
  <c r="G166" i="6" s="1"/>
  <c r="C214" i="6"/>
  <c r="G214" i="6" s="1"/>
  <c r="G162" i="6"/>
  <c r="C174" i="6"/>
  <c r="G142" i="6"/>
  <c r="G396" i="5"/>
  <c r="G355" i="5"/>
  <c r="G128" i="5"/>
  <c r="C160" i="5"/>
  <c r="C192" i="5" s="1"/>
  <c r="G140" i="5"/>
  <c r="C148" i="5"/>
  <c r="C156" i="5"/>
  <c r="G156" i="5" s="1"/>
  <c r="C152" i="5"/>
  <c r="G152" i="5" s="1"/>
  <c r="G144" i="5"/>
  <c r="G114" i="4"/>
  <c r="G372" i="1"/>
  <c r="G410" i="1" s="1"/>
  <c r="C426" i="1"/>
  <c r="G426" i="1" s="1"/>
  <c r="C218" i="2"/>
  <c r="G218" i="2" s="1"/>
  <c r="C117" i="3"/>
  <c r="G117" i="3" s="1"/>
  <c r="C363" i="3"/>
  <c r="G363" i="3" s="1"/>
  <c r="G379" i="3" s="1"/>
  <c r="C151" i="3"/>
  <c r="G151" i="3" s="1"/>
  <c r="C122" i="4"/>
  <c r="G122" i="4" s="1"/>
  <c r="C118" i="4"/>
  <c r="G110" i="4"/>
  <c r="C264" i="4"/>
  <c r="C198" i="4"/>
  <c r="G198" i="4" s="1"/>
  <c r="G171" i="4"/>
  <c r="G200" i="2"/>
  <c r="C153" i="2"/>
  <c r="G149" i="2"/>
  <c r="C161" i="2"/>
  <c r="G161" i="2" s="1"/>
  <c r="C157" i="2"/>
  <c r="G157" i="2" s="1"/>
  <c r="G455" i="1"/>
  <c r="C251" i="1"/>
  <c r="G251" i="1" s="1"/>
  <c r="C259" i="1"/>
  <c r="G259" i="1" s="1"/>
  <c r="C147" i="1"/>
  <c r="G147" i="1" s="1"/>
  <c r="C254" i="8" l="1"/>
  <c r="G254" i="8" s="1"/>
  <c r="G188" i="8"/>
  <c r="G383" i="4"/>
  <c r="G406" i="4" s="1"/>
  <c r="G264" i="4"/>
  <c r="G266" i="4" s="1"/>
  <c r="G400" i="4" s="1"/>
  <c r="G172" i="14"/>
  <c r="G464" i="2"/>
  <c r="G438" i="1"/>
  <c r="G461" i="1" s="1"/>
  <c r="C255" i="1"/>
  <c r="G255" i="1" s="1"/>
  <c r="G459" i="1"/>
  <c r="G278" i="15"/>
  <c r="G269" i="15"/>
  <c r="G271" i="15" s="1"/>
  <c r="G280" i="14"/>
  <c r="C239" i="10"/>
  <c r="G239" i="10" s="1"/>
  <c r="C229" i="10"/>
  <c r="G229" i="10" s="1"/>
  <c r="G166" i="9"/>
  <c r="G184" i="9" s="1"/>
  <c r="G220" i="9"/>
  <c r="C200" i="9"/>
  <c r="G158" i="9"/>
  <c r="C212" i="9"/>
  <c r="G212" i="9" s="1"/>
  <c r="C194" i="8"/>
  <c r="C204" i="8"/>
  <c r="G204" i="8" s="1"/>
  <c r="G362" i="6"/>
  <c r="G174" i="6"/>
  <c r="G398" i="5"/>
  <c r="C210" i="5"/>
  <c r="C277" i="5"/>
  <c r="C267" i="5" s="1"/>
  <c r="G267" i="5" s="1"/>
  <c r="C230" i="5"/>
  <c r="G160" i="5"/>
  <c r="G148" i="5"/>
  <c r="C246" i="5"/>
  <c r="G246" i="5" s="1"/>
  <c r="C257" i="2"/>
  <c r="G257" i="2" s="1"/>
  <c r="G153" i="2"/>
  <c r="C269" i="2"/>
  <c r="G269" i="2" s="1"/>
  <c r="G402" i="3"/>
  <c r="C209" i="3"/>
  <c r="G209" i="3" s="1"/>
  <c r="C169" i="3"/>
  <c r="G169" i="3" s="1"/>
  <c r="C193" i="3"/>
  <c r="G193" i="3" s="1"/>
  <c r="G118" i="4"/>
  <c r="C210" i="4"/>
  <c r="G210" i="4" s="1"/>
  <c r="C151" i="1"/>
  <c r="C159" i="1"/>
  <c r="G159" i="1" s="1"/>
  <c r="C155" i="1"/>
  <c r="G155" i="1" s="1"/>
  <c r="C258" i="8" l="1"/>
  <c r="G258" i="8" s="1"/>
  <c r="G194" i="8"/>
  <c r="G226" i="8" s="1"/>
  <c r="G216" i="4"/>
  <c r="G396" i="4" s="1"/>
  <c r="G282" i="14"/>
  <c r="G301" i="14" s="1"/>
  <c r="G303" i="14" s="1"/>
  <c r="G275" i="2"/>
  <c r="C293" i="2"/>
  <c r="C305" i="2" s="1"/>
  <c r="C267" i="1"/>
  <c r="G267" i="1" s="1"/>
  <c r="G151" i="1"/>
  <c r="G289" i="14"/>
  <c r="G334" i="10"/>
  <c r="C243" i="10"/>
  <c r="G243" i="10" s="1"/>
  <c r="G289" i="9"/>
  <c r="C208" i="9"/>
  <c r="G208" i="9" s="1"/>
  <c r="G200" i="9"/>
  <c r="G222" i="9" s="1"/>
  <c r="C280" i="8"/>
  <c r="G280" i="8" s="1"/>
  <c r="G186" i="6"/>
  <c r="G182" i="6"/>
  <c r="G198" i="6"/>
  <c r="G277" i="5"/>
  <c r="G291" i="5"/>
  <c r="G192" i="5"/>
  <c r="G230" i="5"/>
  <c r="G454" i="2"/>
  <c r="C197" i="3"/>
  <c r="G197" i="3" s="1"/>
  <c r="C272" i="8" l="1"/>
  <c r="G272" i="8" s="1"/>
  <c r="E30" i="22"/>
  <c r="G293" i="2"/>
  <c r="G273" i="1"/>
  <c r="G284" i="15"/>
  <c r="G286" i="15" s="1"/>
  <c r="E32" i="22" s="1"/>
  <c r="C259" i="10"/>
  <c r="G259" i="10" s="1"/>
  <c r="G261" i="10" s="1"/>
  <c r="G293" i="9"/>
  <c r="G367" i="8"/>
  <c r="C268" i="8"/>
  <c r="G268" i="8" s="1"/>
  <c r="G352" i="6"/>
  <c r="G236" i="6"/>
  <c r="G246" i="6"/>
  <c r="G392" i="5"/>
  <c r="G234" i="5"/>
  <c r="G252" i="5" s="1"/>
  <c r="G210" i="5"/>
  <c r="G305" i="2"/>
  <c r="C323" i="2"/>
  <c r="G323" i="2" s="1"/>
  <c r="C233" i="3"/>
  <c r="G233" i="3" s="1"/>
  <c r="G387" i="4"/>
  <c r="C288" i="8" l="1"/>
  <c r="G288" i="8" s="1"/>
  <c r="G290" i="8" s="1"/>
  <c r="G389" i="4"/>
  <c r="G408" i="4" s="1"/>
  <c r="G325" i="2"/>
  <c r="G325" i="10"/>
  <c r="G280" i="9"/>
  <c r="G379" i="5"/>
  <c r="G444" i="2"/>
  <c r="G446" i="2" s="1"/>
  <c r="G392" i="3"/>
  <c r="C245" i="3"/>
  <c r="G245" i="3" s="1"/>
  <c r="G442" i="1"/>
  <c r="G451" i="1"/>
  <c r="G410" i="4" l="1"/>
  <c r="E22" i="21" s="1"/>
  <c r="G327" i="10"/>
  <c r="G346" i="10" s="1"/>
  <c r="G348" i="10" s="1"/>
  <c r="G282" i="9"/>
  <c r="G301" i="9" s="1"/>
  <c r="G303" i="9" s="1"/>
  <c r="E26" i="22" s="1"/>
  <c r="G466" i="2"/>
  <c r="G444" i="1"/>
  <c r="G463" i="1" s="1"/>
  <c r="G338" i="10"/>
  <c r="G371" i="8"/>
  <c r="G358" i="8"/>
  <c r="G356" i="6"/>
  <c r="G343" i="6"/>
  <c r="G381" i="5"/>
  <c r="G400" i="5" s="1"/>
  <c r="G388" i="5"/>
  <c r="G458" i="2"/>
  <c r="C263" i="3"/>
  <c r="G263" i="3" s="1"/>
  <c r="G265" i="3" s="1"/>
  <c r="E28" i="21" l="1"/>
  <c r="G360" i="8"/>
  <c r="G379" i="8" s="1"/>
  <c r="G345" i="6"/>
  <c r="G364" i="6" s="1"/>
  <c r="G366" i="6" s="1"/>
  <c r="E22" i="22" s="1"/>
  <c r="E35" i="22" s="1"/>
  <c r="E24" i="23" s="1"/>
  <c r="G465" i="1"/>
  <c r="E22" i="20" s="1"/>
  <c r="G468" i="2"/>
  <c r="E24" i="20" s="1"/>
  <c r="G402" i="5"/>
  <c r="E26" i="20" s="1"/>
  <c r="G383" i="3"/>
  <c r="G381" i="8" l="1"/>
  <c r="E26" i="21" s="1"/>
  <c r="G385" i="3"/>
  <c r="G404" i="3" s="1"/>
  <c r="G406" i="3" s="1"/>
  <c r="E29" i="20"/>
  <c r="E22" i="23" s="1"/>
  <c r="G396" i="3"/>
  <c r="E24" i="21" l="1"/>
  <c r="E33" i="21"/>
  <c r="E26" i="23" s="1"/>
  <c r="E29" i="23" s="1"/>
</calcChain>
</file>

<file path=xl/sharedStrings.xml><?xml version="1.0" encoding="utf-8"?>
<sst xmlns="http://schemas.openxmlformats.org/spreadsheetml/2006/main" count="3682" uniqueCount="369">
  <si>
    <t>Splošna določila:</t>
  </si>
  <si>
    <t>-</t>
  </si>
  <si>
    <t>pred začetkom gradbenih del je potrebno temeljito preveriti stanje ometov s pretrkavanjem. Omete, ki se luščijo, in votla mesta ometov je dopustno odstraniti. Omete, ki so trdni, je potrebno ohraniti.</t>
  </si>
  <si>
    <t xml:space="preserve">- </t>
  </si>
  <si>
    <t>sekundartn plombe na cementni osnovi upd., ki niso kompatibilne s prvotnimi apnenimi ometi, je potrebno odstraniti</t>
  </si>
  <si>
    <t>mesta ohranjenih ometov je potrebno označiti na kartografski podlogi (lahko tudi na fotografiji) za potrebe monitorniga fasade tako ZVKDS OE Ljubljana, kot tudi lastnikov</t>
  </si>
  <si>
    <t xml:space="preserve">pri rekonstrukciji ometov je potrebno uporabiti visoko paropropustne apnene materiale, od obrizga do finega zaglajenega ometa (npr. klasične ali industrijske apnene omete z vsebnostjo hidravličnega apna), ki bodo  kompatibilni z obstoječimi   </t>
  </si>
  <si>
    <t xml:space="preserve">pri rekonstrukciji finih ometov je potrebno uporabiti polnilo (kameno moko, mivko, pesek ipd.) čimbolj podobno strukturi originalnega ometa ter doseči finalno obdelavo enako provotni. </t>
  </si>
  <si>
    <t>vse vlečene profile, okenske obrobe in izstopajoče poudarjene horizontalne linije je potrebno na poškodovanih mestih utrditi in demodelirati v skladu z ohranjenim originalom oziroma prvotnim načinom izvedbe (profili v ometu okrog oken, vlečeni profili pod okenskimi policami in izstopajoče horizontalne linije)</t>
  </si>
  <si>
    <t>na fasadah jne potrebno ohraniti vse odprtine, ki služijo prezračevanju lesenih medetažnih konstrukcij. Pri obnovi fasadnih ometov je potrebno namestiti nove mrežice, po obliki in velikosti enake originalnim mrežicam</t>
  </si>
  <si>
    <t xml:space="preserve">nad vhodi na dvoriščni in rečni fasadi je potrebno predvideti rekonstrukcijo rimskih številk, s katerimi so označeni vhodi </t>
  </si>
  <si>
    <t>prvotne kovinske balkonske ograje je potrebno temeljito očistitui rje in poškodovanih barvnih plasti in površinsko zaščititi.</t>
  </si>
  <si>
    <t xml:space="preserve">zaščitne mreže na kletnih oknih je potrebno obnoviti. Tiste, ki so uničene do take mere, da obnova ni več smotrna ter tiste, ki oblikovno ne sledijo prvotnim oblikam, se nadomesti z novimi, oblikovanimi po vzorcu prvotnih </t>
  </si>
  <si>
    <t xml:space="preserve">stransko fasado je potrebno slikati v barvnem tonu, ki bo določen na podlagi rezultatov sondažnih raziskav z nivoja fasadnega odra oziroma skladno s celostno zasnovano barvno podobo  </t>
  </si>
  <si>
    <t xml:space="preserve">kamniti del je potrebno očistiti sekundarnih opleskov in betonski  del fasade sanirati </t>
  </si>
  <si>
    <t xml:space="preserve">kar zadeva stavbno pohištvo (okna, vrata, žalutije na fasadi) je v celoti upoštevati kulturnovarstvene pogoje  ZVKDS OE Ljubljana št. 35102-0199/2017-10 z dne 15.7.20020. </t>
  </si>
  <si>
    <t xml:space="preserve">tudi v vsem ostalem (vhodi v stopnišča, pasaže, kleparska dela, oglaševanje za lastne potrebe na fasadi, zunanje enote klimatskih naprav, omarice, svetila, je potrebno v celoti upoštevati  kulturnovarstvene pogoje  ZVKDS OE Ljubljana št. 35102-0199/2017-10 z dne 15.7.20020. </t>
  </si>
  <si>
    <t>I.</t>
  </si>
  <si>
    <t>Pripravljalna dela</t>
  </si>
  <si>
    <t>1.</t>
  </si>
  <si>
    <t>Pripravljalna dela zajemajo sledeče postavke (upoštevati fasado v celoti: cestno, dvoriščno in stransko fasado):</t>
  </si>
  <si>
    <t>- plačilo upravne takse, komunalne takse za začasno prometno ureditev na javni promrtni površini in komunalne takse za posebno rabo javne površine (za souporabo mestnega zemljišča za čas del)</t>
  </si>
  <si>
    <t>- signalizacija in osvetlitev gradbišča za čas del z izdelavo vseh potrebnih načrtov - elaboratov začasne prometne ureditve, nadzorom nad ureditvijo in zavarovanjem gradbišča ter tehničnimi pogoji in predlogi za pridobitev dovoljenja za zavarovanje in ureditev gradbišča s strani Javne razsvetljave oz. KPL</t>
  </si>
  <si>
    <t>- gradbiščna ograja, kot fizična zaščita gradbišča</t>
  </si>
  <si>
    <t>- zaščita pločnika oz. ceste pred pričetkom del in čiščenje po končanih delih</t>
  </si>
  <si>
    <t>- izdelava varnostnega načrta za zagotavljanje varnosti in zdravja pri delu na gradbišču ter strošek varnostnega inženirja za čas del</t>
  </si>
  <si>
    <t>- izdelava kvalitetnega dostopa na fasadni oder preko tipskih vgrajenih lestev na odru.</t>
  </si>
  <si>
    <t>- izdelava, montaža in demontaža transportnega jaška za dvig in spust materiala.</t>
  </si>
  <si>
    <t>- izdelava zaščitnega vodotesnega odra nad vhodom in ob straneh vhoda v objekt za varen dostop v objekt in lokalov.</t>
  </si>
  <si>
    <t>- izdelava, montaža in demontaža varnostnega lovilnega odra po celi dolžini objekta nad pritličjem v potrebni dolžini (100% tesnjen lovilni oder spodaj in po potrebi zgoraj)</t>
  </si>
  <si>
    <t>- vsi potrebni transporti na gradbišču</t>
  </si>
  <si>
    <t>- vsi eventuelni manipulativni stroški</t>
  </si>
  <si>
    <t>- prijava gradbišča z izdelavo projekta dovoza in odvoza z gradbišča na lokacijo začasne deponije materialov, ruševin, namestitev garderobnega in sanitarnega boxa</t>
  </si>
  <si>
    <t>- ureditev gradbiščnega vodovodnega in elektro priključka, vključno  z začasno gradbiščno omarico</t>
  </si>
  <si>
    <t>- montaža, amortizacija za čas gradnje in demontaža kvalitetnega fasadnega odra,  kompletno s potrebno zaščitno PVC juto, kvalitetnim sidranjem, skicami, izdelavo projektov in statičnim izračunom.</t>
  </si>
  <si>
    <t>Cena za enoto je fiksna in se zaradi eventuelnih dodatnih ali nižjih stroškov ne spreminja.</t>
  </si>
  <si>
    <t>kpl</t>
  </si>
  <si>
    <t xml:space="preserve">Foto prikaz: </t>
  </si>
  <si>
    <t>situacija                                                                               cestna stran -levo</t>
  </si>
  <si>
    <t xml:space="preserve">cestna stran-sredina                                                                                            cestna stran-desno </t>
  </si>
  <si>
    <t>Skupaj pripravljalna dela</t>
  </si>
  <si>
    <t>EUR</t>
  </si>
  <si>
    <t>II.</t>
  </si>
  <si>
    <t>Rušitvena in zidarska dela</t>
  </si>
  <si>
    <t>Kvalitetna zaščita oken in vrat s pvc folijo za čas izvedbe vseh obnovitvenih del. Za pritrditev folije se uporabijo taki materiali, ki po odstranitvi ne puščajo sledi!</t>
  </si>
  <si>
    <t>m2</t>
  </si>
  <si>
    <t>2.</t>
  </si>
  <si>
    <t>Kompletno odbijanje finega fasadnega ometa iz apnene malte, odnos ruševin na gradbiščni depo</t>
  </si>
  <si>
    <t>Montaža in demontaža fasadnih odrov, kompletno s sidranjem , zaščitno juto, statičnim izračunom in načrtom odra</t>
  </si>
  <si>
    <t xml:space="preserve">Izdelava in montaža kvalitetnega dostopa na fasadni oder </t>
  </si>
  <si>
    <t>3.</t>
  </si>
  <si>
    <t>Transportni jašek za montažo konzolnega oziroma ročmnega dvigala</t>
  </si>
  <si>
    <t>4.</t>
  </si>
  <si>
    <t>Izvedba zaščitnih podhodov za varen dostop v objekt</t>
  </si>
  <si>
    <t>5.</t>
  </si>
  <si>
    <t xml:space="preserve">Izdelava 100 % tesnjenega lovilnega odra spodaj </t>
  </si>
  <si>
    <t>m1</t>
  </si>
  <si>
    <t>6.</t>
  </si>
  <si>
    <t>7.</t>
  </si>
  <si>
    <t>kom</t>
  </si>
  <si>
    <t xml:space="preserve">Demontaža hišnih številk, tablic ulic ipd.,  vključno hramba in ponovna montaža na ista mesta po končanih delih </t>
  </si>
  <si>
    <t>8.</t>
  </si>
  <si>
    <t>Demontaža stare šibkotočne in ostale elektro instalacije na fasadi</t>
  </si>
  <si>
    <t>pavšal</t>
  </si>
  <si>
    <t>9.</t>
  </si>
  <si>
    <t>Izdelava utorov in dobava ter vzidava gibljivih PVC cevi in doz za podometne instalacije, utor do 8/5 cm. V ceni zajeta tudi namestitev PVC mrežice kot bandažiranje. Vlek in montaža kablov ni predmet tega popisa del in jih naročijo posebej lastniki objekta oz. upravnik objekta.</t>
  </si>
  <si>
    <t>10.</t>
  </si>
  <si>
    <t>Demonaža starih mrežic za zračenje lesenih medetažnoh stropov te dobava in montaža novih mrežic, po dimenziji (do 50 cm2/kos) in obliki enake kot obstoječe mrežice. Material cink pločevina</t>
  </si>
  <si>
    <t>11.</t>
  </si>
  <si>
    <t>12.</t>
  </si>
  <si>
    <t>13.</t>
  </si>
  <si>
    <t xml:space="preserve">Spiranje fasade z vodo pod blagim pritiskom. Pranje odbitih površin fasade se izvede tako, da se odstrani vsa umazanija, odstopajoči delci in prah. Po potrebi se lokalno izvede tudi ročno ščetkanje odbite površine . Obračun se bo opravil po dejansko sprani površini fasade (brez oken in vrat), skladno z določili GNG norm.  </t>
  </si>
  <si>
    <t xml:space="preserve">Odbijanje dotrajanjega grobega fasadnega ometa v debelini do 3 cm  iz podaljšane apnene malte z odnosom ruševin na gradbiščni depo. Vzeta je ocena, da bo potrebno odbiti 60 % vseh grobih ometov. Obračun količin se bo opravil po dejanski površini odbitih ometov, skladno z določili GNG normativov </t>
  </si>
  <si>
    <t>14.</t>
  </si>
  <si>
    <t xml:space="preserve">za slikanje fasade je potrebno uporabiti barve kompatibilne z apneno tehnologijo, npr. silikatne ali apnene (nikakor ne akrilnih barv, akrilnih emulzij in podobno). Silikonske barve so manj primerne, saj so difuzijsko manj odprte kot silikatne.  </t>
  </si>
  <si>
    <t xml:space="preserve">Izdelava grobega ometa fasade v deb. do 3 cm, vključno predhodni obrizg,  vse iz visoko paropropustnih apnenih materialov (klasični ali industrijski apneni ometi z vsebnostjo hidravličnega apna)   </t>
  </si>
  <si>
    <t>15.</t>
  </si>
  <si>
    <t>16.</t>
  </si>
  <si>
    <t>17.</t>
  </si>
  <si>
    <t>Doplačilo za obdelavo fasadnega venca nad okni 3N.  Izstopajoči venec iz fasade - po vizualni oceni z nivoja terena-  preseka cca 200 cm2</t>
  </si>
  <si>
    <t>18.</t>
  </si>
  <si>
    <t>Doplačilo za obdelavo fasadnega venca pod okni pritličja in  nad okni pritličja, 1N in 2N ter na vrhu strešnega atičnega zidu.  Izstopajoči venec iz fasade - po vizualni oceni z nivoja terena-  preseka cca 100 cm2</t>
  </si>
  <si>
    <t>19.</t>
  </si>
  <si>
    <t xml:space="preserve">Izdelava izravnalnega mikroarmiranega ometa deb. 5 mm (kot npr. Röfi Renoplus ali enakovredno), vključno z vtisnjeno fasadno mrežico </t>
  </si>
  <si>
    <t>20.</t>
  </si>
  <si>
    <t>21.</t>
  </si>
  <si>
    <t>22.</t>
  </si>
  <si>
    <t>Doplačilo za obdelavo venca (podokenskih polic). Po vizualni oceni z nivoja terena ima venec presek cca 100 cm2 .  V količini vključweni tudi venci balkonov -spodnji in zgornji.</t>
  </si>
  <si>
    <t xml:space="preserve">Zidarska priprava podlage v padcu pod pločevinastmi obrobami vrha vencev, širina  cca 10 cm  </t>
  </si>
  <si>
    <t>Doplačilo za grobi in fini sanirni omet do višine 100 cm od nivoja tal. Izvede se po potrebi , kar odloči nadzorni organ.</t>
  </si>
  <si>
    <t xml:space="preserve">Izdelava finega fasadnega ometa iz apnene malte - industrijske ali klasične- z agregatom granulacije do 1,5 mm, površinsko zaglajeni. </t>
  </si>
  <si>
    <t>23.</t>
  </si>
  <si>
    <t>24.</t>
  </si>
  <si>
    <t>25.</t>
  </si>
  <si>
    <t xml:space="preserve">Doplačilo izza izdelavo  lesenih modelov (šablon) za profile vseh vencev za gorbi in fini omet. Odlitke profilacije vencev in izdelavo šablon v delavnici izvede za o usposobljeni restavrator. </t>
  </si>
  <si>
    <t>26.</t>
  </si>
  <si>
    <t xml:space="preserve">Nakladanje na kamion in odvoz odpadnega materiala na trajno deponijo, vključno s plačilom komunalne takse. </t>
  </si>
  <si>
    <t>m3</t>
  </si>
  <si>
    <t>27.</t>
  </si>
  <si>
    <t xml:space="preserve">Izdelava načrta vzdrževanja fasade hiše (fasadnih površin in stavbnega pohištva). Načrt izfdela izvajalec  do primopredaje objekta. </t>
  </si>
  <si>
    <t>Skupaj rušitvena in zidarska dela</t>
  </si>
  <si>
    <t>Doplačilo za obdelavo napuščnega venca. Po vizualni oceni z nivoja terena ima venec 10 robov in  je razvite širine 90-100 cm. Glej sliko:</t>
  </si>
  <si>
    <t xml:space="preserve">Kot post. 23, le širine cca 50 cm nad napuščnim vencem </t>
  </si>
  <si>
    <t>Kot post.23, le okenske police širine do 30 cm</t>
  </si>
  <si>
    <t>28.</t>
  </si>
  <si>
    <t>III.</t>
  </si>
  <si>
    <t>Restavratorska dela</t>
  </si>
  <si>
    <t>Stratigrafska analiza z jemanji vzorcev ometa. Izvaja ZVKDS OE Ljubljana ali Restavratorski center - RC. Na podlagi poročila o sondiranju oz. stratigrafskih raziskavah se določijo barvni toni fasanih opleskov. Delo se naroči po potrebi, če to zahteva ZVKDS! V nasprtotnem primeru se ne obračuna.</t>
  </si>
  <si>
    <t>Skupaj restavratorska dela</t>
  </si>
  <si>
    <t>IV.</t>
  </si>
  <si>
    <t>Kleparska dela</t>
  </si>
  <si>
    <t>Splošno:</t>
  </si>
  <si>
    <r>
      <t xml:space="preserve">za pločevinaste obrobe okenskih polic in vencev se uporabi cinkotit pločevina deb. 0,8 mm, vključno z ločilnim slojem in podložno pločevino. Pri oknu in na straneh se izvede pregib s protivodnim zavihkom, na previsnem delu zavihek poti zatekanju vode (odkap), odmaknjen od fasade </t>
    </r>
    <r>
      <rPr>
        <sz val="11"/>
        <color theme="1"/>
        <rFont val="Calibri"/>
        <family val="2"/>
        <charset val="238"/>
      </rPr>
      <t>≥</t>
    </r>
    <r>
      <rPr>
        <sz val="11"/>
        <color theme="1"/>
        <rFont val="Calibri"/>
        <family val="2"/>
        <charset val="238"/>
        <scheme val="minor"/>
      </rPr>
      <t xml:space="preserve"> 2 cm </t>
    </r>
  </si>
  <si>
    <t>Demontaža okenskih in venčnih pločevinastih polic, z odnosom na gradbiščno deponijo ter kasneje nakladanje in odvoz na stalni depo , vključno s plačilom takse na deponiji</t>
  </si>
  <si>
    <t>a.</t>
  </si>
  <si>
    <t>b.</t>
  </si>
  <si>
    <t>c.</t>
  </si>
  <si>
    <t xml:space="preserve">Dobava in montaža okenskih in venčnih polic  </t>
  </si>
  <si>
    <t>r.š. do  33 cm ( venci, okenske police) - m1</t>
  </si>
  <si>
    <t>r.š. do 66 cm ( napuščni venec) - m1</t>
  </si>
  <si>
    <t>r.š. do 100 cm ( vrh atike)- m1</t>
  </si>
  <si>
    <t xml:space="preserve">Demontaža in montaža nove strešne kritine nadstreškov nad vhodoma. Streha z dvojnimi kleparskimi zgibi, postalo kot velja za police.  </t>
  </si>
  <si>
    <t>Pregled in čiščenje obstoječih peskolovov na dvoriščni strani</t>
  </si>
  <si>
    <t xml:space="preserve">Dobava in montaža  protigolobje zaščite (špice), zmontirane na okenskih in venčnih pločevinastih polic. O nujnosti dobave in montaže zaščite odloči upravnik stavbe. </t>
  </si>
  <si>
    <t>Skupaj kleparska dela</t>
  </si>
  <si>
    <t>V.</t>
  </si>
  <si>
    <t>Ključavničarska dela</t>
  </si>
  <si>
    <t>Dobava in montaža trokrake konzole za zastavo iz RF pločevine, barvanje z lakom po izbiri. Vse se izvede po navodilih ZVKDS OE Ljubljana</t>
  </si>
  <si>
    <t>Demontaža okenske mreže kletnih oken, odvoz v delavnico, popravilo s peskanjem in opleskom ter ponovna montaža na objektu. Mreža vel. cca 0,60 m2/kos.</t>
  </si>
  <si>
    <t>Skupaj ključavničarska dela</t>
  </si>
  <si>
    <t>ulična</t>
  </si>
  <si>
    <t>dvoriščna</t>
  </si>
  <si>
    <t>Demontaža, hramba in ponovna montaža bakrenih vertikalnih odtočnih cevi, vključno z objemkami, z dobavo in montažo začasnih odtokov iz PE folije</t>
  </si>
  <si>
    <t xml:space="preserve">Zaščita bakrenega  žlebu in kljuk nad napuščnim vencem na dvoriščni strani fasade za čas izvednbe fasaderskih del </t>
  </si>
  <si>
    <t>VI.</t>
  </si>
  <si>
    <t>Mizarska dela</t>
  </si>
  <si>
    <t>VII.</t>
  </si>
  <si>
    <t>Slkopleskarska dela</t>
  </si>
  <si>
    <t xml:space="preserve">Izdelava vzorčnega okna dim.cca 110/170 cm (zunanji del okna)  oziroma točno v merah kot obstoječe dvokrilno okno.  Vzorčno okno mora povzeti obliko, profilacijo, dimenzije in delitev obstoječih oken: zunanja krila so čista kopija (enojna zasteklitev). Zunanji del okna se pleska v polmat zelenem  tonu, določenem po RAL barvni lestvici št. 6005, notranji del okna pa v beli barvi RAL 9001. Priporočljivo je uporabiti prvotne kljuke oziroma se uporabijo nove sorodne oblike. Nova nasadila morajo biti oblikovno enaka prvotnim.     </t>
  </si>
  <si>
    <t xml:space="preserve">pri izvedbi  del je potrebno v celoti upoštevati zahteve ZVKDS OE Ljubljana, ki so opisane  v kulturnovarstvenih pogojih št. 35102-0199/2017-10 z dne 15.7.2021, tč. 27-43. </t>
  </si>
  <si>
    <t xml:space="preserve">pri izvedbi  del je potrebno v celoti upoštevati zahteve ZVKDS OE Ljubljana, ki so opisane  v kulturnovarstvenih pogojih št. 35102-0199/2017-10 z dne 15.7.2021, tč. 17:  za slikanje fasade je potrebno uporabiti barve kompatibilne z apneno tehnologijo, npr. silikatne ali apnene (nikakor ne akrilnih barv, akrilnih emulzij in podobno). Silikonske barve so manj primerne, saj so difuzijsko manj odprte kot silikatne.  </t>
  </si>
  <si>
    <t>ocenjuje se, da je potrebno opraviti zamenjavo 80 % zunanjih delov oken (zaradi uskladitve videza s prvotnimi okni), kar je predračunsko zajeto pri mizarskih delih,   20 % pa se predvidi za izvedbo manjših mizarskih popravil in popravilom opleska (zajeto v slikopleskarskih delih).</t>
  </si>
  <si>
    <t xml:space="preserve">Demontaža obstoječega zunanjega dela okna, z odnosom na gradbiščni depo in kasneje na stalni depo.     </t>
  </si>
  <si>
    <t>dim. 110/170 cm  (kom)</t>
  </si>
  <si>
    <t>dim. 170/170 cm ( kom)</t>
  </si>
  <si>
    <t xml:space="preserve">Izdelava novega zunanjega dela okna točno v merah kot obstoječa okna.  Okno mora povzeti obliko, profilacijo, dimenzije in delitev obstoječih oken: zunanja krila so čista kopija (enojna zasteklitev). Zunanji del okna se pleska v polmat zelenem  tonu, določenem po RAL barvni lestvici št. 6005, notranji del okna pa v beli barvi RAL 9001. Priporočljivo je uporabiti prvotne kljuke oziroma se uporabijo nove sorodne oblike. Nova nasadila morajo biti oblikovno enaka prvotnim.  V ceni zajeti izdelavo okna, kompletno z opleskom in vsem potrebnim okovjem.      </t>
  </si>
  <si>
    <t xml:space="preserve">dim. 110/170 cm ( kom) </t>
  </si>
  <si>
    <t xml:space="preserve">dim. 170/170 cm (kom) </t>
  </si>
  <si>
    <t>ulična vrata</t>
  </si>
  <si>
    <t>Restavratorsko mizarsko popravilo glavnih vhodnih vrat, tudi nadsvetlobnega dela. Poškodovane dele vrat  je potrebno dopolniti, uničene dele pa na novo izdelati iz lesa.    Kitanje poškodovanih mest, večje razpoke je potrebno zapolniti  z lesenim polnilom (kitanje večjih razpok ni dopustno!). Plombe se retušira oziroma barvno prilagodi lesu. Popravilo oziroma zamenjava okovja kot je zahtevano v tč.43 kulturnovarstvenih pogojev, prilagojeno za električno odpiranje vrat(domofon) . Glej slike spodaj. V ceni je zajeta tudi postavitev začasnih vhodnih vrtat za čas obnove obstojčih vrat v mizarski delavnici.</t>
  </si>
  <si>
    <t>kljuka(bunka) vhodna vrata</t>
  </si>
  <si>
    <t>vhodna vrata ulična fasada, vel. 170/220 cm+ nadsvetloba 170/100 cmž</t>
  </si>
  <si>
    <t xml:space="preserve">vhodna vrata dvoriščna fasada, vel. 100/220 cm </t>
  </si>
  <si>
    <t>Skupaj mizarska dela</t>
  </si>
  <si>
    <t xml:space="preserve">2. </t>
  </si>
  <si>
    <r>
      <t>Dvakratno slikanje fasade s paropropustno barvo na silikatni osnovi v barvnih tonih, določenih na podlagi sondažnih raziskav, ki jih bo opravil ZVKDS OE Ljubljana.  Za obračun se bo upoštevala narisna površina objekta, z odbitki okenskih in vratnih odprtin</t>
    </r>
    <r>
      <rPr>
        <sz val="11"/>
        <rFont val="Calibri"/>
        <family val="2"/>
        <charset val="238"/>
      </rPr>
      <t xml:space="preserve">&gt; 3 m2, brez doplačil za vence. </t>
    </r>
  </si>
  <si>
    <r>
      <t>Impregnacija fasade s paropropustni premazom 1x (v skladu z uporabljenim sistemom obnove oz.navodili tehnologa). Za obračun se bo upoštevala narisna površina objekta, z odbitki okenskih in vratnih odprtin</t>
    </r>
    <r>
      <rPr>
        <sz val="11"/>
        <rFont val="Calibri"/>
        <family val="2"/>
        <charset val="238"/>
      </rPr>
      <t xml:space="preserve">&gt; 3 m2, brez doplačil za vence. </t>
    </r>
  </si>
  <si>
    <t>dim. 110/170 cm (kom)</t>
  </si>
  <si>
    <t>Temeljito čiščenje, brušenje ter temeljni in finalni premaz raznih kovinskih omaric, vse po navodilih ZVKDS.</t>
  </si>
  <si>
    <t>rekonstrukcija rimskih številk, s katerimi so označeni vhodi na dvoriščni in ulični  fasadi</t>
  </si>
  <si>
    <t>Skupaj slikopleskarska dela</t>
  </si>
  <si>
    <t>VIII.</t>
  </si>
  <si>
    <t xml:space="preserve">Razna nepredvidena dela </t>
  </si>
  <si>
    <t xml:space="preserve">Za predračunsko vrednost raznih nepredvidenih del se oceni 10 % vrednosti od  del v post. I do VII. Obračun teh del se bo opravil po dejansko izvršenih delih, po dejansko izveenih kloličinah in enotnih cenah, ki bodo določene na osnovi analiz cen, upoštevajoč GNG normative. Enotne cene mora kot ustrezne potrditi nadzornik.  </t>
  </si>
  <si>
    <t>Skupaj razna nepredvidena dela</t>
  </si>
  <si>
    <t xml:space="preserve">REKAPITULACIJA </t>
  </si>
  <si>
    <t>Slikopleskarska dela</t>
  </si>
  <si>
    <t>Razna nepredvidena dela</t>
  </si>
  <si>
    <t xml:space="preserve">Skupaj ( brez DDV) </t>
  </si>
  <si>
    <t>situacija                                                                                           cestna stran-levo</t>
  </si>
  <si>
    <t xml:space="preserve">cestna stran-sredina                                      cestna stran-desno </t>
  </si>
  <si>
    <t xml:space="preserve">kar zadeva stavbno pohištvo (okna, vrata, žaluzije na fasadi) je v celoti upoštevati kulturnovarstvene pogoje  ZVKDS OE Ljubljana št. 35102-0199/2017-10 z dne 15.7.20020. </t>
  </si>
  <si>
    <t xml:space="preserve">    dvoriščna</t>
  </si>
  <si>
    <t xml:space="preserve">Slikopleskarska prenova zunanjega dela oken, ki ostanejo. Okna je demontirati ter odpeljati na reparacijo v delavnico. V vmesnem času se okenska odprtina zaščiti s PVC folijo, kar vse je zajeti v ceno. Poškodovane dele oken (odkapne letve, steklarski kit…) je potrebno zamenjati z novimi, nasadila nastaviti, krila zatesniti. Manjša poškodovana mesta se kita, večje razpoke je potrebno zapolniti z lesenim polnilom (kitanje večjih razpok ni dopustno!).  Po izvedenih  mizarskih popravilih se v delavnci izvede čiščenje, brušenje, žganje, kitanje ter osnovni in finalni premaz vseh okenskih delov v RAL 6005 (zunaj) in RAL 9001 (znotraj). Barvajo se zunanja okenska krila z obeh strani in zunanji okenski okvir do lesene škatle oziroma špalete med zunanjim in notranjim oknom.  </t>
  </si>
  <si>
    <t>situacija                                                                               dvoriščna fasada</t>
  </si>
  <si>
    <t xml:space="preserve">cestna stran- stranska fasada                                    </t>
  </si>
  <si>
    <t>sekundarte plombe na cementni osnovi upd., ki niso kompatibilne s prvotnimi apnenimi ometi, je potrebno odstraniti</t>
  </si>
  <si>
    <t xml:space="preserve">- signalizacija in osvetlitev gradbišča za čas del z izdelavo vseh potrebnih načrtov - elaboratov začasne prometne ureditve, nadzorom nad ureditvijo in zavarovanjem gradbišča </t>
  </si>
  <si>
    <t>- zaščita tlaka obstoječe zunanje ureditve  pred pričetkom del in čiščenje po končanih delih</t>
  </si>
  <si>
    <t xml:space="preserve">Doplačilo  za izvedbo grobega in finega  ometa  na ločnem delu dvoriščne fasade </t>
  </si>
  <si>
    <t xml:space="preserve">Izdelava novega zunanjega dela okna točno v merah kot obstoječa okna.  Okno mora povzeti obliko, profilacijo, dimenzije in delitev obstoječih oken: zunanja krila so čista geometrijska kopija. Zasteklitev dvojna, Ug= 1,10 W/m2/K. Zunanji del okna se pleska v polmat zelenem  tonu, določenem po RAL barvni lestvici št. 6005, notranji del okna pa v beli barvi RAL 9001. Priporočljivo je uporabiti prvotne kljuke oziroma se uporabijo nove sorodne oblike. Nova nasadila morajo biti oblikovno enaka prvotnim.  V ceni zajeti izdelavo okna, kompletno z opleskom in vsem potrebnim okovjem.      </t>
  </si>
  <si>
    <t xml:space="preserve">dvoriščna vrata </t>
  </si>
  <si>
    <t xml:space="preserve">Doplačilo  za izvedbo grobega in finega  ometa  na ločnem delu dveh okroglih stebrov na vhodu iz ulice </t>
  </si>
  <si>
    <t>Pregled in čiščenje obstoječih peskolovov</t>
  </si>
  <si>
    <t xml:space="preserve">Izdelava novega zunanjega dela okna točno v merah kot obstoječa okna.  Okno mora povzeti obliko, profilacijo, dimenzije in delitev obstoječih oken: zunanja krila so čista geometrijska kopija (dvojna zastejklitev Ug=1,10 W/m2K). Zunanji del okna se pleska v polmat zelenem  tonu, določenem po RAL barvni lestvici št. 6005, notranji del okna pa v beli barvi RAL 9001. Priporočljivo je uporabiti prvotne kljuke oziroma se uporabijo nove sorodne oblike. Nova nasadila morajo biti oblikovno enaka prvotnim.  V ceni zajeti izdelavo okna, kompletno z opleskom in vsem potrebnim okovjem.      </t>
  </si>
  <si>
    <t>situacija                                                                                           dvoriščna fasada</t>
  </si>
  <si>
    <t xml:space="preserve">Izdelava vzorčnega okna dim.cca 110/170 cm (zunanji del okna)  oziroma točno v merah kot obstoječe dvokrilno okno.  Vzorčno okno mora povzeti obliko, profilacijo, dimenzije in delitev obstoječih oken: zunanja krila so čista geometrijska kopija (dovoljena je dvojna zasteklitev Ug= 1,10 W/m2K. Zunanji del okna se pleska v polmat zelenem  tonu, določenem po RAL barvni lestvici št. 6005, notranji del okna pa v beli barvi RAL 9001. Priporočljivo je uporabiti prvotne kljuke oziroma se uporabijo nove sorodne oblike. Nova nasadila morajo biti oblikovno enaka prvotnim.     </t>
  </si>
  <si>
    <t xml:space="preserve">Spiranje fasade z vodo pod blagim pritiskom. Pranje odbitih površin fasade se izvede tako, da se odstrani vsa umazanija, odstopajoči delci in prah. Po potrebi se lokalno izvede tudi ročno ščetkanje odbite površine. Obračun se bo opravil po dejansko sprani površini fasade (brez oken in vrat), skladno z določili GNG norm.  </t>
  </si>
  <si>
    <t xml:space="preserve">cestna stran- stranska fasada                      </t>
  </si>
  <si>
    <t xml:space="preserve">Doplačilo  za izvedbo grobega in finega  ometa  na ločnem delu  dveh okroglih stebrov na vhodu iz ulice </t>
  </si>
  <si>
    <t xml:space="preserve">Pregled in čiščenje obstoječih peskolovov </t>
  </si>
  <si>
    <t xml:space="preserve">Izdelava novega zunanjega dela okna točno v merah kot obstoječa okna.  Okno mora povzeti obliko, profilacijo, dimenzije in delitev obstoječih oken: zunanja krila so čista geometrijska kopija (dovoli se dvojna zasteklitev Ug=1,10 W/m2K). Zunanji del okna se pleska v polmat zelenem  tonu, določenem po RAL barvni lestvici št. 6005, notranji del okna pa v beli barvi RAL 9001. Priporočljivo je uporabiti prvotne kljuke oziroma se uporabijo nove sorodne oblike. Nova nasadila morajo biti oblikovno enaka prvotnim.  V ceni zajeti izdelavo okna, kompletno z opleskom in vsem potrebnim okovjem.      </t>
  </si>
  <si>
    <t xml:space="preserve">Demontaža zunanjih PVC ali ALU rolet vel.do 3 m2, skupaj z masko ter izročitev lastniku stanovanja </t>
  </si>
  <si>
    <t xml:space="preserve">situacija                                                                               </t>
  </si>
  <si>
    <t xml:space="preserve">ulična -naris </t>
  </si>
  <si>
    <t>ulična -levo</t>
  </si>
  <si>
    <t>ulična-desno</t>
  </si>
  <si>
    <t>Doplačilo za obdelavo fasadnega venca pod okni pritličja in  nad okni pritličja, 1N,2N in 3N. Izstopajoči venec iz fasade - po vizualni oceni z nivoja terena-  preseka cca 100 cm2</t>
  </si>
  <si>
    <t>Doplačilo za obdelavo fasadnega venca nad okni 4N.  Izstopajoči venec iz fasade - po vizualni oceni z nivoja terena-  preseka cca 200 cm2</t>
  </si>
  <si>
    <t xml:space="preserve">Kot post. 22,  le širine cca 50 cm nad napuščnim vencem  srednjega dela (baza trikotnika)  </t>
  </si>
  <si>
    <t xml:space="preserve">Zaščita bakrenega  žlebu in kljuk nad napuščnim vencem na ulični strani fasade za čas izvedbe fasaderskih del </t>
  </si>
  <si>
    <r>
      <t xml:space="preserve">Obnova opleska obstoječe  balkonske ograje po postopku: odstruganje, čiščenje miniziranje in finalno pleskanje do 150 </t>
    </r>
    <r>
      <rPr>
        <sz val="11"/>
        <rFont val="Calibri"/>
        <family val="2"/>
        <charset val="238"/>
      </rPr>
      <t>µm. Obračun po kosu.</t>
    </r>
    <r>
      <rPr>
        <sz val="11"/>
        <rFont val="Calibri"/>
        <family val="2"/>
        <charset val="238"/>
        <scheme val="minor"/>
      </rPr>
      <t xml:space="preserve"> Ograja ločne oblike površine cca 4 m2. </t>
    </r>
  </si>
  <si>
    <t>kos</t>
  </si>
  <si>
    <t>Gestrinova 5                                                                          Gestrinova 7</t>
  </si>
  <si>
    <t>Gestrinova 7                                                                                                                  Gestrinova 8</t>
  </si>
  <si>
    <t>Pripravljalna dela zajemajo sledeče postavke:</t>
  </si>
  <si>
    <t xml:space="preserve">Kot post.1, le oder ločnega dela stopnišča (Gestrinova 5 in 8)  </t>
  </si>
  <si>
    <t xml:space="preserve">Doplačilo za obdelavo napuščnega venca. Po vizualni oceni z nivoja terena ima venec 10 robov in  je razvite širine 90-100 cm. </t>
  </si>
  <si>
    <t xml:space="preserve">Doplačilo za obdelavo venca (podokenskih polic). Po vizualni oceni z nivoja terena ima venec presek cca 100 cm2.  V količini vključeni tudi spodnji ločni venci balkonov </t>
  </si>
  <si>
    <t xml:space="preserve">Kot post. 23,  le širine cca 50 cm nad napuščnim vencem  srednjega dela (baza trikotnika)  </t>
  </si>
  <si>
    <t>Kot post.24, le okenske police širine do 30 cm</t>
  </si>
  <si>
    <t>dim.60/170 cm (kom)</t>
  </si>
  <si>
    <t>vrata dim. 110/270 cm  (kom)</t>
  </si>
  <si>
    <t>dim.60/170 cm(kom)</t>
  </si>
  <si>
    <t xml:space="preserve">vrata dim. 110/270 cm ( kom) </t>
  </si>
  <si>
    <t>din.60/170 cm  (kom)</t>
  </si>
  <si>
    <t>vrata dim. 110/270 cm (kom)</t>
  </si>
  <si>
    <r>
      <t xml:space="preserve">Obnova opleska obstoječe  balkonske ograje po postopku: odstruganje, čiščenje miniziranje in finalno pleskanje do 150 </t>
    </r>
    <r>
      <rPr>
        <sz val="11"/>
        <rFont val="Calibri"/>
        <family val="2"/>
        <charset val="238"/>
      </rPr>
      <t>µm. Obračun po kosu.</t>
    </r>
    <r>
      <rPr>
        <sz val="11"/>
        <rFont val="Calibri"/>
        <family val="2"/>
        <charset val="238"/>
        <scheme val="minor"/>
      </rPr>
      <t xml:space="preserve"> Ograja ločne oblike površine do  4 m2. </t>
    </r>
  </si>
  <si>
    <t>d.</t>
  </si>
  <si>
    <t>okno stopnišče-skupne površine cca 25 m2 (kom)</t>
  </si>
  <si>
    <t>Kot post.23,  le okenske police širine do 30 cm</t>
  </si>
  <si>
    <t>r.š. do 66 cm ( strešni venec nad vhodi) - m1</t>
  </si>
  <si>
    <t>r.š. do 66 cm ( strešni vecen nad vhodi) -m1</t>
  </si>
  <si>
    <t xml:space="preserve">Sanacija vetikalnih dilatacij  na fasadi. Predvidoma se sanacija opravi tako, da se razpoke ročno klinasto odpre, nizkotlačno injektira v  liniji obstoječe razpoke, rezanje zidne površine po vertikalni pravi liniji, z vgradnjo vertikalnega sistemskega tipiziranega dilatacijskega profila, ki bo preprečil razpoke v ometu. Obračun po m1 izvedene vertikalne dilatacije. </t>
  </si>
  <si>
    <t xml:space="preserve">Gestrinova 8-dvoriščna stran                                          Gestrinova 6-dvoriščna stran </t>
  </si>
  <si>
    <t xml:space="preserve">Gestrinova 4-dvoriščna stran                                      Gestrinova 2-dvoriščna stran </t>
  </si>
  <si>
    <t>sekundarte plombe na cementni osnovi ipd., ki niso kompatibilne s prvotnimi apnenimi ometi, je potrebno odstraniti</t>
  </si>
  <si>
    <t xml:space="preserve">ravni del fasade (m2) </t>
  </si>
  <si>
    <t xml:space="preserve">ločni del fasade (m2) </t>
  </si>
  <si>
    <t>Doplačilo za obdelavo fasadnega venca pod okni pritličja in  nad okni pritličja, 1N,2N,3N in 4N. Izstopajoči venec iz fasade - po vizualni oceni z nivoja terena-  preseka cca 100 cm2</t>
  </si>
  <si>
    <t xml:space="preserve">ravni del ( m1) </t>
  </si>
  <si>
    <t xml:space="preserve">ravni del (m1) </t>
  </si>
  <si>
    <t xml:space="preserve">ločni del -stopnišče (m1) </t>
  </si>
  <si>
    <t xml:space="preserve">ločni del (m1) </t>
  </si>
  <si>
    <t xml:space="preserve">Doplačilo za obdelavo napuščnega venca, tudi nad dcemi vhodi. Po vizualni oceni z nivoja terena ima venec 10 robov in  je razvite širine 90-100 cm. </t>
  </si>
  <si>
    <t>ravni del (m1)</t>
  </si>
  <si>
    <t xml:space="preserve">Doplačilo za obdelavo venca podokenskih polic. Po vizualni oceni z nivoja terena ima venec presek cca 100 cm2.  V količini vključeni tudi spodnji ločni venci balkonov </t>
  </si>
  <si>
    <t>Kot post.22,  le okenske police širine do 30 cm</t>
  </si>
  <si>
    <t>r.š. do  33 cm ( venci, oken.police)-ravni del ( m1)</t>
  </si>
  <si>
    <t xml:space="preserve">r.š. do 33 cm -ločni del (m1) </t>
  </si>
  <si>
    <t xml:space="preserve">r.š. do 66 cm  - ravni del (m1) </t>
  </si>
  <si>
    <t xml:space="preserve">r.š. 66 cm -ločni del (m1) </t>
  </si>
  <si>
    <t>r.š. do  33 cm ( venci, oken.police)-ravni del (m1)</t>
  </si>
  <si>
    <t xml:space="preserve">r.š. do 66 cm -ravni del (m1) </t>
  </si>
  <si>
    <t xml:space="preserve">Izdelava vzorčnega okna dim.cca 170/170 cm (zunanji del okna)  oziroma točno v merah kot obstoječe dvokrilno okno.  Vzorčno okno mora povzeti obliko, profilacijo, dimenzije in delitev obstoječih oken: zunanja krila so čista kopija (enojna zasteklitev). Zunanji del okna se pleska v polmat zelenem  tonu, določenem po RAL barvni lestvici št. 6005, notranji del okna pa v beli barvi RAL 9001. Priporočljivo je uporabiti prvotne kljuke oziroma se uporabijo nove sorodne oblike. Nova nasadila morajo biti oblikovno enaka prvotnim.     </t>
  </si>
  <si>
    <t>okno dim. 60/170 cm  (kom)</t>
  </si>
  <si>
    <t xml:space="preserve">okno dim. 110/170 cm ( kom) </t>
  </si>
  <si>
    <t>okno dim. 110/170 cm  (kom)</t>
  </si>
  <si>
    <t>okno 110/170 cm (kom)</t>
  </si>
  <si>
    <t>Restavratorsko mizarsko popravilo glavnih vhodnih vrat, tudi nadsvetlobnega dela. Poškodovane dele vrat  je potrebno dopolniti, uničene dele pa na novo izdelati iz lesa.    Kitanje poškodovanih mest, večje razpoke je potrebno zapolniti  z lesenim polnilom (kitanje večjih razpok ni dopustno!). Plombe se retušira oziroma barvno prilagodi lesu. Popravilo oziroma zamenjava okovja kot je zahtevano v tč.43 kulturnovarstvenih pogojev, prilagojeno za električno odpiranje vrat(domofon). Glej sliko bunke  spodaj. V ceni je zajeta tudi postavitev začasnih vhodnih vrtat za čas obnove obstojčih vrat v mizarski delavnici.</t>
  </si>
  <si>
    <t>vhodna vrata dvoriščna fasada, vel. 170/220 cm+ nadsvetloba 170/100 cm</t>
  </si>
  <si>
    <t xml:space="preserve">Gestrinova 3-levo od pasaže                                                                                             </t>
  </si>
  <si>
    <t xml:space="preserve">Doplačilo izza izdelavo  lesenih modelov (šablon) za profile vseh vencev za grobi in fini omet. Odlitke profilacije vencev in izdelavo šablon v delavnici izvede za o usposobljeni restavrator. </t>
  </si>
  <si>
    <t>okno dim. 170/170 cm  (kom)</t>
  </si>
  <si>
    <t xml:space="preserve">okno dim. 170/170 cm ( kom) </t>
  </si>
  <si>
    <t>okno 170/170 cm (kom)</t>
  </si>
  <si>
    <t>Doplačilo za obdelavo fasadnega venca nad okni 4N in 5N.  Izstopajoči venec iz fasade - po vizualni oceni z nivoja terena-  preseka cca 200 cm2</t>
  </si>
  <si>
    <t xml:space="preserve">Doplačilo za obdelavo napuščnega venca, tudi nad vhodom  v objekt. Po vizualni oceni z nivoja terena ima venec 10 robov in  je razvite širine 90-100 cm. </t>
  </si>
  <si>
    <t>okno 60/170 cm (kom)</t>
  </si>
  <si>
    <t xml:space="preserve">zaščitne mreže na  oknih v nadstropju je potrebno obnoviti. Tiste, ki so uničene do take mere, da obnova ni več smotrna ter tiste, ki oblikovno ne sledijo prvotnim oblikam, se nadomesti z novimi, oblikovanimi po vzorcu prvotnih </t>
  </si>
  <si>
    <t xml:space="preserve">tudi v vsem ostalem (kleparska dela, oglaševanje za lastne potrebe na fasadi, zunanje enote klimatskih naprav, omarice, svetila, je potrebno v celoti upoštevati  kulturnovarstvene pogoje  ZVKDS OE Ljubljana št. 35102-0199/2017-10 z dne 15.7.20020. </t>
  </si>
  <si>
    <t xml:space="preserve">Izdelava 100 % tesnjenega lovilnega odra spodaj , na strani vhodov (krajša stranica) </t>
  </si>
  <si>
    <t>Doplačilo za obdelavo fasadnega venca pod okni nadstropja - po vizualni oceni z nivoja terena-  preseka cca 100 cm2</t>
  </si>
  <si>
    <t>Doplačilo za obdelavo fasadnega venca nad okni 1N.  Izstopajoči venec iz fasade - po vizualni oceni z nivoja terena-  preseka cca 200 cm2</t>
  </si>
  <si>
    <t>Kot post.21,  le okenske police širine do 30 cm</t>
  </si>
  <si>
    <t>r.š. do  33 cm ( venci, oken.police)- m1</t>
  </si>
  <si>
    <t>r.š. do 33 cm ( zidna obroba nadstreška)-m1</t>
  </si>
  <si>
    <t>r.š. 100 cm ( streha nadstreška)- m1</t>
  </si>
  <si>
    <t>r.š. do  33 cm ( venci, oken.police)-m1</t>
  </si>
  <si>
    <t xml:space="preserve">r.š. do 33 cm (zidna obroba nadstreška) -m1 </t>
  </si>
  <si>
    <t xml:space="preserve">Dobava in montaža pločevinaste strehe, kompletno s podložno pločevino in ustrezno folijo </t>
  </si>
  <si>
    <t xml:space="preserve">Demontaža horizontalnega žleba iz cink pločevine r.š. 33 cm, kompletno s kljukami, z odnosom na gradbiščni depo ter kasneje z nakladanjem na kamion in dovozom na stalni depo, vključno plačilo takse na deponiji. </t>
  </si>
  <si>
    <t>Dobava in montaža horizontaklnega žleba iz cinkotiti pločevine r.š. 33 cm, kompletno s kljukami</t>
  </si>
  <si>
    <t>Dobava in montaža vertikalnih odtočnih cevi fi 125 mm iz cinkotit pločevine, vključno z objemkami.</t>
  </si>
  <si>
    <t xml:space="preserve">Demontaža vertikalnih odtočnih cevi iz cink pločevine. </t>
  </si>
  <si>
    <t>Pregked in manjša popravila rešetk na oknih v nadstroopju . Vzeta je ocena poprabe časa 2 uri/okno. Obračun po dejansko porabljenem času in materialu</t>
  </si>
  <si>
    <t>ur</t>
  </si>
  <si>
    <t xml:space="preserve">Manjša mizarska popravila garažnih vrat. Vzeta je ocena porabe časa 3 ure/vrata. Obraćun po dejansko porabljenem času in materialu. </t>
  </si>
  <si>
    <t>Pleskanje okenskih mrež v nadstropju dim. 170/170 cm, z vsemi fazami dela ( brušenje, temeljni in finalni ptemaz v deb. 150 mikronov)</t>
  </si>
  <si>
    <t>Pleskaraska prenova oken 170/170 cm ni predvidena</t>
  </si>
  <si>
    <t xml:space="preserve">Izvedba  slikopleskarske obdelava zunanjih delov lesenih garažnih vrat z vsemi fazami dela (čiščenje in odstrug stare barve ter izvedba zaščitnega opleska lesa). Obračun po m2 </t>
  </si>
  <si>
    <t>pasaža A</t>
  </si>
  <si>
    <t>pasaža B</t>
  </si>
  <si>
    <t>Pasaža C</t>
  </si>
  <si>
    <t>Pasaža D</t>
  </si>
  <si>
    <t>Pasaža E</t>
  </si>
  <si>
    <t>Montaža in demontaža premičnih odrov višine       2 m za obdelavo sten in stropa pasaže</t>
  </si>
  <si>
    <t>Skupaj pripravljalna dela ( za cseh 5 pasaž)</t>
  </si>
  <si>
    <t>Rušitvena in zidarska dela ( za vseh 5 pasaž)</t>
  </si>
  <si>
    <t xml:space="preserve">Odbijanje dotrajanjega grobega fasadnega ometa (stene in strop)  v debelini do 3 cm  iz podaljšane apnene malte z odnosom ruševin na gradbiščni depo. Vzeta je ocena, da bo potrebno odbiti 60 % vseh grobih ometov. Obračun količin se bo opravil po dejanski površini odbitih ometov, skladno z določili GNG normativov </t>
  </si>
  <si>
    <t>Doplačilo za obdelavo horizontalnih in vertiklalnih vencev (kombinacija pravokotnih in polkriožnih oblik), ne glede na število robov in r.š. Glčej slike in obzene ogled na mestu samem pred oddajo ponudbe.</t>
  </si>
  <si>
    <t>pavšal (1 komplt za vseh 5 pasaž)</t>
  </si>
  <si>
    <t xml:space="preserve">Restavriranje krogastih odbojnikov  na vhodih v pasažo </t>
  </si>
  <si>
    <r>
      <t>Dvakratno slikanje fasade s paropropustno barvo na silikatni osnovi v več barvnih barvnih tonov, določenih na podlagi sondažnih raziskav, ki jih bo opravil ZVKDS OE Ljubljana.  Za obračun se bo upoštevala narisna površina objekta, z odbitki okenskih in vratnih odprtin</t>
    </r>
    <r>
      <rPr>
        <sz val="11"/>
        <rFont val="Calibri"/>
        <family val="2"/>
        <charset val="238"/>
      </rPr>
      <t xml:space="preserve">&gt; 3 m2, brez doplačil za vence. </t>
    </r>
  </si>
  <si>
    <t xml:space="preserve">Za predračunsko vrednost raznih nepredvidenih del se oceni 10 % vrednosti od  del v post. I do IV. Obračun teh del se bo opravil po dejansko izvršenih delih, po dejansko izveenih kloličinah in enotnih cenah, ki bodo določene na osnovi analiz cen, upoštevajoč GNG normative. Enotne cene mora kot ustrezne potrditi nadzornik.  </t>
  </si>
  <si>
    <t xml:space="preserve">REKAPITULACIJA ( za vseh 5 pasaž) </t>
  </si>
  <si>
    <t>sekundarne plombe na cementni osnovi ipd., ki niso kompatibilne s prvotnimi apnenimi ometi, je potrebno odstraniti</t>
  </si>
  <si>
    <t xml:space="preserve">pročelje  stavbe ob Poljanski cesti se preplasti v celoti z novim praskanim ometom. V primeru, da praskanega ometa ne bo mogoče poustvariti v prvotnem barvnem tonu, se predvidi npr. mineralni omet  s polnilom različnih dimenzij, obdelan v t.i. zaprti strukturi (obarvan ali barvan)  </t>
  </si>
  <si>
    <t xml:space="preserve">pri rekonstrukciji ometov je potrebno uporabiti visoko paropropustne apnene materiale, od obrizga do finega zaglajenega ometa (npr. klasične ali industrijske apnene omete z vsebnostjo hidravličnega apna), ki bodo  kompatibilni z obstoječimi (fasada na atrijski strani)  </t>
  </si>
  <si>
    <t xml:space="preserve">za slikanje fasade je potrebno uporabiti barve kompatibilne z apneno tehnologijo, npr. silikatne ali apnene (nikakor ne akrilnih barv, akrilnih emulzij in podobno). Silikonske barve so manj primerne, saj so difuzijsko manj odprte kot silikatne (fasada na atrijski stani) .  </t>
  </si>
  <si>
    <t xml:space="preserve">pri rekonstrukciji finih ometov je potrebno uporabiti polnilo (kameno moko, mivko, pesek ipd.) čimbolj podobno strukturi originalnega ometa ter doseči finalno obdelavo enako provotni (fasada na atrijski strani) . </t>
  </si>
  <si>
    <t>Kvalitetna zaščita oken in vrat (tudi pritličnih izložbenih oken  na cesti stranj) s pvc folijo za čas izvedbe vseh obnovitvenih del. Za pritrditev folije se uporabijo taki materiali, ki po odstranitvi ne puščajo sledi!</t>
  </si>
  <si>
    <t xml:space="preserve">Kompletno odbijanje finega fasadnega ometa iz apnene malte, odnos ruševin na gradbiščni depo (atrijska stran) </t>
  </si>
  <si>
    <t>Izdelava finega fasadnega ometa iz apnene malte - industrijske ali klasične- z agregatom granulacije do 1,5 mm, površinsko zaglajeni (atrijska stran)</t>
  </si>
  <si>
    <t>Odbijanje dotrajanjega grobega fasadnega ometa v debelini do 3 cm  iz podaljšane apnene malte z odnosom ruševin na gradbiščni depo. Vzeta je ocena, da bo potrebno odbiti 60 % vseh grobih ometov. Obračun količin se bo opravil po dejanski površini odbitih ometov, skladno z določili GNG normativov  (atrijska in cestna stran)</t>
  </si>
  <si>
    <t>Spiranje fasade z vodo pod blagim pritiskom. Pranje odbitih površin fasade se izvede tako, da se odstrani vsa umazanija, odstopajoči delci in prah. Po potrebi se lokalno izvede tudi ročno ščetkanje odbite površine . Obračun se bo opravil po dejansko sprani površini fasade (brez oken in vrat), skladno z določili GNG norm.  Kamniti del pritlične fasade na cestni strani je zajet pri restavratorskih delih</t>
  </si>
  <si>
    <t xml:space="preserve">Izdelava praskanega ometa na cestni strani, v barvi in granulaciji kot obstoječi praskan omet. </t>
  </si>
  <si>
    <t>Doplačilo za grobi in fini sanirni omet do višine 100 cm od nivoja tal. Izvede se po potrebi , kar odloči nadzorni organ (atrijska stran).</t>
  </si>
  <si>
    <t>Doplačilo za obdelavo fasadnega venca pod okni pritličja in  nad okni pritličja, nad okni 1N,2N,3N  in 4N. Izstopajoči venec iz fasade - po vizualni oceni z nivoja terena-  preseka cca 100 cm2</t>
  </si>
  <si>
    <t>Doplačilo za obdelavo fasadnega venca v nivioju pritličja.  Izstopajoči venec iz fasade - po vizualni oceni z nivoja terena-  preseka cca 200 cm2</t>
  </si>
  <si>
    <t>Doplačilo za izvedbo  ert (cca 2 cm izven linije ometov) širine  20-25 cm, okoli okroglih oken premera 220 cm. Atrijska stran fasade. Skupaj 5 kom okroglih oken</t>
  </si>
  <si>
    <t>ravni del ( m1)</t>
  </si>
  <si>
    <t xml:space="preserve">okrogli del (m1) </t>
  </si>
  <si>
    <t xml:space="preserve">Obnova spominske plošče na vogalu pasaže (čiščenje površinskih nečistoč z nedestruktivnimi metodami čiščenja, osvežitev barve napisa) </t>
  </si>
  <si>
    <t xml:space="preserve">Kot post. 4, le napuščni venec r.š. do 60 cm , vključno hidrofobni premaz. </t>
  </si>
  <si>
    <t>Kot post.2 in 3, le restavriranje betonskih okenskih polic in nadokenskih vencev . Obračun po m1 polic oziroma vencev. Vključno hidrofobni premaz. Glej sliko:</t>
  </si>
  <si>
    <t xml:space="preserve">Čiščenje površinskih nečistoč in črnih oblog na betonski fasadi pritličja na cestni strani. Za čiščenje je uporabiti nedestruktivne metode čiščenja kot npr. nizkotlačno parno čiščenje ali opeskanje z medijem mehkejšim od betona/kamna.  Podrobna navodila za čiščenje bodo podana na podlagi  rezultatov poizkusnih polj čiščenja.  Obračun po razviti površini fasade. Okna se odbijajo v celoti. V površini je zajet tudi betonski venec  nad pritličjem </t>
  </si>
  <si>
    <t>Restvriranje pritlične betonske fasade  na cestni strani. Odprte, manjkajoče dele in večje lokalne odkruške, razpoke, mehanske poškodbe ipd je potrebno konservatorsko-restavratorsko  sanirati (stičiti) in pri tem  uporabiti barvno prilagojene demodelirane mase očiščeni površini ter restavratosko obdelati na način, enako očiščeni ohranjeni površini (fino štokan del osrednjega  polja z robom: šariran kanton). Predhodno je potrebno izdelati poizkusne vzorce. Obračun kot post. III/2. V ceni je zajeti tudi izvedbo hidrofobnega premaza.</t>
  </si>
  <si>
    <t xml:space="preserve">r.š. do  33 cm </t>
  </si>
  <si>
    <t>Demontaža, hramba in ponovna montaža  vertikalnih odtočnih cevi, vključno z objemkami, z dobavo in montažo začasnih odtokov iz PE folije</t>
  </si>
  <si>
    <t xml:space="preserve">Zaščita bakrenega  žlebu in kljuk nad napuščnim vencem na ulični in atrijski strani fasade za čas izvedbe fasaderskih del </t>
  </si>
  <si>
    <t xml:space="preserve">Obnova zaščitnih mrež na oknih lokalov na cestni strani. Mreže se očisijo nestabilnih opleskov in se pleskajo z AKZ zazščitnimi premazi v deb.150 mikronov,  v barvnem tonu, ki se bo določil na poldlagi sondažnih preiskav.   Obračun v narisni površini rešetke, F= 1,00. </t>
  </si>
  <si>
    <t>ocenjuje se, da je potrebno opraviti zamenjavo 50 % zunanjih delov oken (zaradi uskladitve videza s prvotnimi okni), kar je predračunsko zajeto pri mizarskih delih,   50 % pa se predvidi za izvedbo manjših mizarskih popravil in popravilom opleska (zajeto v slikopleskarskih delih).</t>
  </si>
  <si>
    <t>okno dim. 60/170 cm ( kom)</t>
  </si>
  <si>
    <t xml:space="preserve">okno dim. 60/170 cm ( kom) </t>
  </si>
  <si>
    <t xml:space="preserve">okno dim. 110/170 cm (kom) </t>
  </si>
  <si>
    <t>okno  dim. 170/170 cm (kom)</t>
  </si>
  <si>
    <t>okno dim.60/110 cm (kom)</t>
  </si>
  <si>
    <t xml:space="preserve">okroglo okno stopnišče fi 170 cm </t>
  </si>
  <si>
    <t xml:space="preserve">Čiščenje, peskanje in hidrofobna zaščita betonskih ograjnih stebričev, ograjnega AB zida in   betonskih zidcev ob vhodu v objekt. Obračun po m2 razvite površine.   </t>
  </si>
  <si>
    <t xml:space="preserve">okroglo okno stopnišče fi 110 cm </t>
  </si>
  <si>
    <r>
      <t xml:space="preserve">Obnova opleska obstoječe  ograje v nivoju ulice iz jeklenih cevi </t>
    </r>
    <r>
      <rPr>
        <sz val="11"/>
        <rFont val="Calibri"/>
        <family val="2"/>
        <charset val="238"/>
      </rPr>
      <t>Ø 50 mm</t>
    </r>
    <r>
      <rPr>
        <sz val="11"/>
        <rFont val="Calibri"/>
        <family val="2"/>
        <charset val="238"/>
        <scheme val="minor"/>
      </rPr>
      <t xml:space="preserve"> po postopku: odstruganje, čiščenje miniziranje in finalno pleskanje do 150 </t>
    </r>
    <r>
      <rPr>
        <sz val="11"/>
        <rFont val="Calibri"/>
        <family val="2"/>
        <charset val="238"/>
      </rPr>
      <t>µm. Obračun po m1 cevi.</t>
    </r>
  </si>
  <si>
    <t>Gestrinova 2,4,6 - atrij                                                                                             Pogled na vhod Gestrinova2</t>
  </si>
  <si>
    <t xml:space="preserve">atrijska stran </t>
  </si>
  <si>
    <t>Odbijanje dotrajanjega grobega fasadnega ometa v debelini do 3 cm  iz podaljšane apnene malte z odnosom ruševin na gradbiščni depo. Vzeta je ocena, da bo potrebno odbiti 60 % vseh grobih ometov. Obračun količin se bo opravil po dejanski površini odbitih ometov, skladno z določili GNG normativov  (atrijska stran)</t>
  </si>
  <si>
    <t xml:space="preserve">Zaščita bakrenega  žlebu in kljuk nad napuščnim vencem na atrijski strani fasade za čas izvedbe fasaderskih del </t>
  </si>
  <si>
    <t>cestna stran</t>
  </si>
  <si>
    <t xml:space="preserve">cestna stran                                                            cestna stran </t>
  </si>
  <si>
    <t>Odstranitev sekundarnih prvin s fasade na cestni strani, kot so tedne, table, izveski. Za nove postavitve je potrebno pridobiti soglasje ZVKDS</t>
  </si>
  <si>
    <t xml:space="preserve"> </t>
  </si>
  <si>
    <t>REKAPITULACIJA (I. faza)</t>
  </si>
  <si>
    <t>SKUPAJ I. FAZA (brez DDV)</t>
  </si>
  <si>
    <t>R D E Č A   H I Š A - obnova fasad</t>
  </si>
  <si>
    <t>REKAPITULACIJA (II. faza)</t>
  </si>
  <si>
    <t>REKAPITULACIJA (III. faza)</t>
  </si>
  <si>
    <t>S K U P N A   R E K A P I T U L A C I J A</t>
  </si>
  <si>
    <t>SKUPAJ II. FAZA (brez DDV)</t>
  </si>
  <si>
    <t>SKUPAJ III. FAZA (brez DDV)</t>
  </si>
  <si>
    <t>SKUPAJ VSE FAZE (brez DDV)</t>
  </si>
  <si>
    <r>
      <t xml:space="preserve">Za pločevinaste obrobe okenskih polic in vencev se uporabi cinkotit pločevina deb. 0,8 mm, vključno z ločilnim slojem in podložno pločevino. Pri oknu in na straneh se izvede pregib s protivodnim zavihkom, na previsnem delu zavihek poti zatekanju vode (odkap), odmaknjen od fasade </t>
    </r>
    <r>
      <rPr>
        <sz val="11"/>
        <color theme="1"/>
        <rFont val="Calibri"/>
        <family val="2"/>
        <charset val="238"/>
      </rPr>
      <t>≥</t>
    </r>
    <r>
      <rPr>
        <sz val="11"/>
        <color theme="1"/>
        <rFont val="Calibri"/>
        <family val="2"/>
        <charset val="238"/>
        <scheme val="minor"/>
      </rPr>
      <t xml:space="preserve"> 2 cm </t>
    </r>
  </si>
  <si>
    <t xml:space="preserve">  </t>
  </si>
  <si>
    <t>Sanacija fasade Poljanski nasip 14 - ulična fasada</t>
  </si>
  <si>
    <t>Sanacija fasade Poljanski nasip 12 - ulična fasada</t>
  </si>
  <si>
    <t>Sanacija fasade Gestrinova 5,7 in 8 - ulična (rečna stran)</t>
  </si>
  <si>
    <t xml:space="preserve">Sanacija fasade Gestrinova 2,4 in 6 -atrijska stran </t>
  </si>
  <si>
    <t xml:space="preserve">Sanacija fasade Gestrinova 5,7 in 8 -atrijska stran </t>
  </si>
  <si>
    <t xml:space="preserve">Sanacija fasade Gestrinova 3 -atrijska stran </t>
  </si>
  <si>
    <t xml:space="preserve">Sanacija fasade Poljanska cesta 15- cestna in atrijska stran </t>
  </si>
  <si>
    <t>Sanacija fasade GARAŽNEGA OBJEKTA</t>
  </si>
  <si>
    <t>Sanacija fasade v PASAŽAH A, B, C, D in E</t>
  </si>
  <si>
    <t>Sanacija fasade Poljanski nasip 12 - dvoriščna fasada</t>
  </si>
  <si>
    <t>Sanacija fasade Poljanski nasip 14 - dvoriščna fasada</t>
  </si>
  <si>
    <t xml:space="preserve">Sanacija fasade Gestrinova 2,4,6 in 8 - dvoriščna stran </t>
  </si>
  <si>
    <t xml:space="preserve">Sanacija fasade Gestrinova 3 - dvoriščna stran </t>
  </si>
  <si>
    <t xml:space="preserve">Sanacija fasade Poljanska cesta 15 - cestna in atrijska stran </t>
  </si>
  <si>
    <t>Ver.2008/2021-2
 18.03.2022</t>
  </si>
  <si>
    <t>Vsebine opisa posameznih postavk,  količin in enot ponudbenega predračuna  ni dovoljeno spreminjati. Velja za vsa poglavja predračuna.</t>
  </si>
  <si>
    <t>Opomba:</t>
  </si>
  <si>
    <t>DDV se bo obračunal v skladu z zakonom o DDV-ju!</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</si>
</sst>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4" formatCode="_-* #,##0.00\ &quot;€&quot;_-;\-* #,##0.00\ &quot;€&quot;_-;_-* &quot;-&quot;??\ &quot;€&quot;_-;_-@_-"/>
    <numFmt numFmtId="164" formatCode="_-* #,##0.00\ &quot;SIT&quot;_-;\-* #,##0.00\ &quot;SIT&quot;_-;_-* &quot;-&quot;??\ &quot;SIT&quot;_-;_-@_-"/>
    <numFmt numFmtId="165" formatCode="#,##0.000"/>
    <numFmt numFmtId="166" formatCode="#,##0.00\ &quot;€&quot;"/>
  </numFmts>
  <fonts count="19">
    <font>
      <sz val="11"/>
      <color theme="1"/>
      <name val="Calibri"/>
      <family val="2"/>
      <charset val="238"/>
      <scheme val="minor"/>
    </font>
    <font>
      <b/>
      <sz val="11"/>
      <color theme="1"/>
      <name val="Calibri"/>
      <family val="2"/>
      <charset val="238"/>
      <scheme val="minor"/>
    </font>
    <font>
      <sz val="10"/>
      <name val="Arial CE"/>
      <charset val="238"/>
    </font>
    <font>
      <sz val="10"/>
      <name val="Arial"/>
      <family val="2"/>
      <charset val="238"/>
    </font>
    <font>
      <sz val="10"/>
      <name val="SL Dutch"/>
      <charset val="238"/>
    </font>
    <font>
      <sz val="11"/>
      <name val="Calibri"/>
      <family val="2"/>
      <charset val="238"/>
      <scheme val="minor"/>
    </font>
    <font>
      <b/>
      <sz val="14"/>
      <color theme="1"/>
      <name val="Calibri"/>
      <family val="2"/>
      <charset val="238"/>
      <scheme val="minor"/>
    </font>
    <font>
      <sz val="13"/>
      <color theme="1"/>
      <name val="Calibri"/>
      <family val="2"/>
      <charset val="238"/>
      <scheme val="minor"/>
    </font>
    <font>
      <sz val="11"/>
      <color theme="1"/>
      <name val="Calibri"/>
      <family val="2"/>
      <charset val="238"/>
      <scheme val="minor"/>
    </font>
    <font>
      <sz val="11"/>
      <color theme="1"/>
      <name val="Calibri"/>
      <family val="2"/>
      <charset val="238"/>
    </font>
    <font>
      <sz val="11"/>
      <name val="Calibri"/>
      <family val="2"/>
      <charset val="238"/>
    </font>
    <font>
      <b/>
      <sz val="11"/>
      <name val="Calibri"/>
      <family val="2"/>
      <charset val="238"/>
      <scheme val="minor"/>
    </font>
    <font>
      <b/>
      <sz val="10"/>
      <name val="Calibri"/>
      <family val="2"/>
      <charset val="238"/>
      <scheme val="minor"/>
    </font>
    <font>
      <u/>
      <sz val="10"/>
      <color indexed="12"/>
      <name val="Arial"/>
      <family val="2"/>
      <charset val="238"/>
    </font>
    <font>
      <sz val="8"/>
      <color theme="1"/>
      <name val="Calibri"/>
      <family val="2"/>
      <charset val="238"/>
      <scheme val="minor"/>
    </font>
    <font>
      <i/>
      <sz val="7"/>
      <color rgb="FFFF0000"/>
      <name val="Arial"/>
      <family val="2"/>
      <charset val="238"/>
    </font>
    <font>
      <i/>
      <sz val="7"/>
      <name val="Arial"/>
      <family val="2"/>
      <charset val="238"/>
    </font>
    <font>
      <b/>
      <u/>
      <sz val="10"/>
      <name val="Arial CE"/>
      <charset val="238"/>
    </font>
    <font>
      <b/>
      <sz val="10"/>
      <name val="Arial CE"/>
      <charset val="238"/>
    </font>
  </fonts>
  <fills count="4">
    <fill>
      <patternFill patternType="none"/>
    </fill>
    <fill>
      <patternFill patternType="gray125"/>
    </fill>
    <fill>
      <patternFill patternType="solid">
        <fgColor theme="0" tint="-4.9989318521683403E-2"/>
        <bgColor indexed="64"/>
      </patternFill>
    </fill>
    <fill>
      <patternFill patternType="solid">
        <fgColor rgb="FFFFFF00"/>
        <bgColor indexed="64"/>
      </patternFill>
    </fill>
  </fills>
  <borders count="6">
    <border>
      <left/>
      <right/>
      <top/>
      <bottom/>
      <diagonal/>
    </border>
    <border>
      <left/>
      <right/>
      <top style="medium">
        <color auto="1"/>
      </top>
      <bottom/>
      <diagonal/>
    </border>
    <border>
      <left/>
      <right/>
      <top/>
      <bottom style="thin">
        <color indexed="64"/>
      </bottom>
      <diagonal/>
    </border>
    <border>
      <left/>
      <right/>
      <top style="thin">
        <color indexed="64"/>
      </top>
      <bottom style="double">
        <color indexed="64"/>
      </bottom>
      <diagonal/>
    </border>
    <border>
      <left/>
      <right/>
      <top style="thin">
        <color indexed="64"/>
      </top>
      <bottom/>
      <diagonal/>
    </border>
    <border>
      <left/>
      <right/>
      <top style="thin">
        <color indexed="64"/>
      </top>
      <bottom style="thin">
        <color indexed="64"/>
      </bottom>
      <diagonal/>
    </border>
  </borders>
  <cellStyleXfs count="10">
    <xf numFmtId="0" fontId="0" fillId="0" borderId="0"/>
    <xf numFmtId="0" fontId="2" fillId="0" borderId="0"/>
    <xf numFmtId="0" fontId="3" fillId="0" borderId="0"/>
    <xf numFmtId="0" fontId="3" fillId="0" borderId="0" applyNumberFormat="0" applyFill="0" applyBorder="0" applyAlignment="0" applyProtection="0"/>
    <xf numFmtId="0" fontId="3" fillId="0" borderId="0" applyNumberFormat="0" applyFill="0" applyBorder="0" applyAlignment="0" applyProtection="0"/>
    <xf numFmtId="0" fontId="4" fillId="0" borderId="0"/>
    <xf numFmtId="0" fontId="4" fillId="0" borderId="0"/>
    <xf numFmtId="164" fontId="2" fillId="0" borderId="0" applyFont="0" applyFill="0" applyBorder="0" applyAlignment="0" applyProtection="0"/>
    <xf numFmtId="44" fontId="3" fillId="0" borderId="0" applyFont="0" applyFill="0" applyBorder="0" applyAlignment="0" applyProtection="0"/>
    <xf numFmtId="0" fontId="13" fillId="0" borderId="0" applyNumberFormat="0" applyFill="0" applyBorder="0" applyAlignment="0" applyProtection="0">
      <alignment vertical="top"/>
      <protection locked="0"/>
    </xf>
  </cellStyleXfs>
  <cellXfs count="119">
    <xf numFmtId="0" fontId="0" fillId="0" borderId="0" xfId="0"/>
    <xf numFmtId="4" fontId="0" fillId="0" borderId="0" xfId="0" applyNumberFormat="1" applyAlignment="1">
      <alignment horizontal="right" vertical="top"/>
    </xf>
    <xf numFmtId="0" fontId="0" fillId="0" borderId="0" xfId="0" applyAlignment="1">
      <alignment horizontal="justify" vertical="top"/>
    </xf>
    <xf numFmtId="0" fontId="0" fillId="0" borderId="0" xfId="0" applyAlignment="1">
      <alignment horizontal="left" vertical="top"/>
    </xf>
    <xf numFmtId="0" fontId="0" fillId="0" borderId="0" xfId="0" quotePrefix="1" applyAlignment="1">
      <alignment horizontal="left" vertical="top"/>
    </xf>
    <xf numFmtId="0" fontId="1" fillId="0" borderId="0" xfId="0" applyFont="1" applyAlignment="1">
      <alignment horizontal="left" vertical="top"/>
    </xf>
    <xf numFmtId="0" fontId="1" fillId="0" borderId="0" xfId="0" applyFont="1" applyAlignment="1">
      <alignment horizontal="justify" vertical="top"/>
    </xf>
    <xf numFmtId="0" fontId="5" fillId="0" borderId="0" xfId="1" applyFont="1" applyFill="1" applyAlignment="1">
      <alignment horizontal="justify" vertical="top"/>
    </xf>
    <xf numFmtId="0" fontId="5" fillId="0" borderId="0" xfId="1" quotePrefix="1" applyFont="1" applyFill="1" applyAlignment="1">
      <alignment horizontal="justify" vertical="top"/>
    </xf>
    <xf numFmtId="0" fontId="5" fillId="0" borderId="0" xfId="0" quotePrefix="1" applyFont="1" applyAlignment="1">
      <alignment horizontal="justify" vertical="top"/>
    </xf>
    <xf numFmtId="0" fontId="5" fillId="0" borderId="0" xfId="0" applyFont="1" applyAlignment="1">
      <alignment horizontal="justify" vertical="top"/>
    </xf>
    <xf numFmtId="0" fontId="6" fillId="0" borderId="0" xfId="0" applyFont="1" applyAlignment="1">
      <alignment horizontal="left" vertical="top"/>
    </xf>
    <xf numFmtId="0" fontId="6" fillId="0" borderId="0" xfId="0" applyFont="1" applyAlignment="1">
      <alignment horizontal="justify" vertical="top"/>
    </xf>
    <xf numFmtId="0" fontId="7" fillId="0" borderId="0" xfId="0" applyFont="1"/>
    <xf numFmtId="0" fontId="0" fillId="0" borderId="1" xfId="0" applyBorder="1" applyAlignment="1">
      <alignment horizontal="left" vertical="top"/>
    </xf>
    <xf numFmtId="0" fontId="1" fillId="0" borderId="1" xfId="0" applyFont="1" applyBorder="1" applyAlignment="1">
      <alignment horizontal="justify" vertical="top"/>
    </xf>
    <xf numFmtId="4" fontId="1" fillId="0" borderId="1" xfId="0" applyNumberFormat="1" applyFont="1" applyBorder="1" applyAlignment="1">
      <alignment horizontal="right" vertical="top"/>
    </xf>
    <xf numFmtId="0" fontId="5" fillId="0" borderId="0" xfId="2" applyFont="1" applyAlignment="1">
      <alignment horizontal="justify" vertical="top"/>
    </xf>
    <xf numFmtId="0" fontId="1" fillId="0" borderId="1" xfId="0" applyFont="1" applyBorder="1" applyAlignment="1">
      <alignment horizontal="left" vertical="top"/>
    </xf>
    <xf numFmtId="0" fontId="1" fillId="0" borderId="0" xfId="0" applyFont="1"/>
    <xf numFmtId="0" fontId="3" fillId="0" borderId="0" xfId="2" applyAlignment="1">
      <alignment horizontal="left" vertical="justify"/>
    </xf>
    <xf numFmtId="0" fontId="5" fillId="0" borderId="0" xfId="2" applyFont="1" applyAlignment="1">
      <alignment horizontal="left" vertical="justify"/>
    </xf>
    <xf numFmtId="0" fontId="5" fillId="0" borderId="0" xfId="2" applyFont="1" applyAlignment="1">
      <alignment horizontal="justify" vertical="justify"/>
    </xf>
    <xf numFmtId="0" fontId="0" fillId="0" borderId="0" xfId="0" applyFont="1" applyAlignment="1">
      <alignment horizontal="left" vertical="top"/>
    </xf>
    <xf numFmtId="0" fontId="0" fillId="0" borderId="0" xfId="0" applyFont="1" applyAlignment="1">
      <alignment horizontal="justify" vertical="top"/>
    </xf>
    <xf numFmtId="4" fontId="1" fillId="0" borderId="0" xfId="0" applyNumberFormat="1" applyFont="1" applyAlignment="1">
      <alignment horizontal="right" vertical="top"/>
    </xf>
    <xf numFmtId="4" fontId="3" fillId="0" borderId="0" xfId="2" applyNumberFormat="1"/>
    <xf numFmtId="4" fontId="7" fillId="0" borderId="0" xfId="0" applyNumberFormat="1" applyFont="1"/>
    <xf numFmtId="4" fontId="0" fillId="0" borderId="0" xfId="0" applyNumberFormat="1"/>
    <xf numFmtId="4" fontId="1" fillId="0" borderId="1" xfId="0" applyNumberFormat="1" applyFont="1" applyBorder="1"/>
    <xf numFmtId="4" fontId="1" fillId="0" borderId="0" xfId="0" applyNumberFormat="1" applyFont="1"/>
    <xf numFmtId="4" fontId="3" fillId="0" borderId="0" xfId="2" applyNumberFormat="1" applyAlignment="1">
      <alignment horizontal="center"/>
    </xf>
    <xf numFmtId="4" fontId="3" fillId="0" borderId="0" xfId="8" applyNumberFormat="1" applyFont="1" applyFill="1" applyBorder="1" applyAlignment="1">
      <alignment horizontal="right" wrapText="1"/>
    </xf>
    <xf numFmtId="4" fontId="3" fillId="0" borderId="0" xfId="8" applyNumberFormat="1" applyFont="1" applyFill="1" applyBorder="1" applyAlignment="1" applyProtection="1">
      <alignment horizontal="right" wrapText="1"/>
      <protection locked="0"/>
    </xf>
    <xf numFmtId="4" fontId="0" fillId="0" borderId="0" xfId="0" applyNumberFormat="1" applyFill="1" applyAlignment="1">
      <alignment horizontal="right" vertical="top"/>
    </xf>
    <xf numFmtId="4" fontId="0" fillId="0" borderId="0" xfId="0" applyNumberFormat="1" applyFont="1"/>
    <xf numFmtId="4" fontId="5" fillId="0" borderId="0" xfId="2" applyNumberFormat="1" applyFont="1" applyAlignment="1">
      <alignment horizontal="center"/>
    </xf>
    <xf numFmtId="4" fontId="5" fillId="0" borderId="0" xfId="2" applyNumberFormat="1" applyFont="1"/>
    <xf numFmtId="4" fontId="5" fillId="0" borderId="0" xfId="8" applyNumberFormat="1" applyFont="1" applyFill="1" applyBorder="1" applyAlignment="1" applyProtection="1">
      <alignment horizontal="right" wrapText="1"/>
      <protection locked="0"/>
    </xf>
    <xf numFmtId="4" fontId="5" fillId="0" borderId="0" xfId="8" applyNumberFormat="1" applyFont="1" applyFill="1" applyBorder="1" applyAlignment="1">
      <alignment horizontal="right" wrapText="1"/>
    </xf>
    <xf numFmtId="0" fontId="8" fillId="0" borderId="0" xfId="0" applyFont="1" applyAlignment="1">
      <alignment horizontal="justify" vertical="top"/>
    </xf>
    <xf numFmtId="4" fontId="0" fillId="0" borderId="0" xfId="0" applyNumberFormat="1" applyAlignment="1">
      <alignment horizontal="right"/>
    </xf>
    <xf numFmtId="0" fontId="1" fillId="0" borderId="0" xfId="0" applyFont="1" applyBorder="1" applyAlignment="1">
      <alignment horizontal="left" vertical="top"/>
    </xf>
    <xf numFmtId="0" fontId="1" fillId="0" borderId="0" xfId="0" applyFont="1" applyBorder="1" applyAlignment="1">
      <alignment horizontal="justify" vertical="top"/>
    </xf>
    <xf numFmtId="4" fontId="1" fillId="0" borderId="0" xfId="0" applyNumberFormat="1" applyFont="1" applyBorder="1" applyAlignment="1">
      <alignment horizontal="right" vertical="top"/>
    </xf>
    <xf numFmtId="4" fontId="1" fillId="0" borderId="0" xfId="0" applyNumberFormat="1" applyFont="1" applyBorder="1"/>
    <xf numFmtId="0" fontId="0" fillId="0" borderId="0" xfId="0" applyAlignment="1">
      <alignment vertical="top"/>
    </xf>
    <xf numFmtId="0" fontId="6" fillId="0" borderId="0" xfId="0" applyFont="1" applyAlignment="1">
      <alignment vertical="top"/>
    </xf>
    <xf numFmtId="4" fontId="7" fillId="0" borderId="0" xfId="0" applyNumberFormat="1" applyFont="1" applyAlignment="1">
      <alignment vertical="top"/>
    </xf>
    <xf numFmtId="4" fontId="7" fillId="0" borderId="0" xfId="0" applyNumberFormat="1" applyFont="1" applyAlignment="1"/>
    <xf numFmtId="0" fontId="0" fillId="0" borderId="0" xfId="0" applyAlignment="1"/>
    <xf numFmtId="0" fontId="7" fillId="0" borderId="0" xfId="0" applyFont="1" applyAlignment="1"/>
    <xf numFmtId="4" fontId="11" fillId="0" borderId="0" xfId="8" applyNumberFormat="1" applyFont="1" applyFill="1" applyBorder="1" applyAlignment="1">
      <alignment horizontal="right" vertical="top" wrapText="1"/>
    </xf>
    <xf numFmtId="4" fontId="1" fillId="0" borderId="0" xfId="0" applyNumberFormat="1" applyFont="1" applyAlignment="1">
      <alignment vertical="top"/>
    </xf>
    <xf numFmtId="0" fontId="1" fillId="0" borderId="0" xfId="0" applyFont="1" applyAlignment="1">
      <alignment vertical="top"/>
    </xf>
    <xf numFmtId="0" fontId="5" fillId="0" borderId="0" xfId="1" applyFont="1" applyAlignment="1">
      <alignment horizontal="justify" vertical="top"/>
    </xf>
    <xf numFmtId="0" fontId="5" fillId="0" borderId="0" xfId="1" quotePrefix="1" applyFont="1" applyAlignment="1">
      <alignment horizontal="justify" vertical="top"/>
    </xf>
    <xf numFmtId="3" fontId="7" fillId="0" borderId="0" xfId="0" applyNumberFormat="1" applyFont="1" applyAlignment="1">
      <alignment vertical="top"/>
    </xf>
    <xf numFmtId="3" fontId="0" fillId="0" borderId="0" xfId="0" applyNumberFormat="1"/>
    <xf numFmtId="165" fontId="0" fillId="0" borderId="0" xfId="0" applyNumberFormat="1" applyAlignment="1">
      <alignment horizontal="center"/>
    </xf>
    <xf numFmtId="0" fontId="0" fillId="0" borderId="0" xfId="0" applyBorder="1" applyAlignment="1">
      <alignment horizontal="left" vertical="top"/>
    </xf>
    <xf numFmtId="0" fontId="0" fillId="0" borderId="2" xfId="0" applyBorder="1"/>
    <xf numFmtId="3" fontId="1" fillId="0" borderId="0" xfId="0" applyNumberFormat="1" applyFont="1"/>
    <xf numFmtId="165" fontId="1" fillId="0" borderId="0" xfId="0" applyNumberFormat="1" applyFont="1" applyAlignment="1">
      <alignment horizontal="center"/>
    </xf>
    <xf numFmtId="166" fontId="7" fillId="0" borderId="0" xfId="0" applyNumberFormat="1" applyFont="1" applyAlignment="1">
      <alignment vertical="top"/>
    </xf>
    <xf numFmtId="166" fontId="0" fillId="0" borderId="0" xfId="0" applyNumberFormat="1"/>
    <xf numFmtId="166" fontId="0" fillId="0" borderId="2" xfId="0" applyNumberFormat="1" applyBorder="1"/>
    <xf numFmtId="0" fontId="1" fillId="2" borderId="3" xfId="0" applyFont="1" applyFill="1" applyBorder="1"/>
    <xf numFmtId="166" fontId="1" fillId="2" borderId="3" xfId="0" applyNumberFormat="1" applyFont="1" applyFill="1" applyBorder="1"/>
    <xf numFmtId="4" fontId="0" fillId="0" borderId="2" xfId="0" applyNumberFormat="1" applyBorder="1" applyAlignment="1">
      <alignment horizontal="right" vertical="top"/>
    </xf>
    <xf numFmtId="4" fontId="5" fillId="0" borderId="2" xfId="8" applyNumberFormat="1" applyFont="1" applyFill="1" applyBorder="1" applyAlignment="1">
      <alignment horizontal="right" wrapText="1"/>
    </xf>
    <xf numFmtId="4" fontId="0" fillId="0" borderId="2" xfId="0" applyNumberFormat="1" applyBorder="1" applyAlignment="1">
      <alignment horizontal="right"/>
    </xf>
    <xf numFmtId="4" fontId="0" fillId="0" borderId="0" xfId="0" applyNumberFormat="1" applyBorder="1" applyAlignment="1">
      <alignment horizontal="right" vertical="top"/>
    </xf>
    <xf numFmtId="0" fontId="0" fillId="0" borderId="3" xfId="0" applyBorder="1" applyAlignment="1">
      <alignment horizontal="left" vertical="top"/>
    </xf>
    <xf numFmtId="0" fontId="1" fillId="0" borderId="3" xfId="0" applyFont="1" applyBorder="1" applyAlignment="1">
      <alignment horizontal="justify" vertical="top"/>
    </xf>
    <xf numFmtId="4" fontId="1" fillId="0" borderId="3" xfId="0" applyNumberFormat="1" applyFont="1" applyBorder="1" applyAlignment="1">
      <alignment horizontal="right" vertical="top"/>
    </xf>
    <xf numFmtId="4" fontId="1" fillId="0" borderId="3" xfId="0" applyNumberFormat="1" applyFont="1" applyBorder="1"/>
    <xf numFmtId="0" fontId="0" fillId="0" borderId="0" xfId="0" applyBorder="1" applyAlignment="1">
      <alignment horizontal="justify" vertical="top"/>
    </xf>
    <xf numFmtId="4" fontId="0" fillId="0" borderId="0" xfId="0" applyNumberFormat="1" applyBorder="1"/>
    <xf numFmtId="0" fontId="1" fillId="0" borderId="3" xfId="0" applyFont="1" applyBorder="1" applyAlignment="1">
      <alignment horizontal="left" vertical="top"/>
    </xf>
    <xf numFmtId="0" fontId="14" fillId="0" borderId="0" xfId="0" applyFont="1" applyAlignment="1">
      <alignment horizontal="left" vertical="top"/>
    </xf>
    <xf numFmtId="0" fontId="11" fillId="0" borderId="3" xfId="2" applyFont="1" applyBorder="1" applyAlignment="1">
      <alignment horizontal="justify" vertical="top"/>
    </xf>
    <xf numFmtId="4" fontId="11" fillId="0" borderId="3" xfId="2" applyNumberFormat="1" applyFont="1" applyBorder="1" applyAlignment="1">
      <alignment horizontal="center" vertical="top"/>
    </xf>
    <xf numFmtId="4" fontId="11" fillId="0" borderId="3" xfId="2" applyNumberFormat="1" applyFont="1" applyBorder="1" applyAlignment="1">
      <alignment vertical="top"/>
    </xf>
    <xf numFmtId="4" fontId="11" fillId="0" borderId="3" xfId="8" applyNumberFormat="1" applyFont="1" applyFill="1" applyBorder="1" applyAlignment="1" applyProtection="1">
      <alignment horizontal="right" vertical="top" wrapText="1"/>
      <protection locked="0"/>
    </xf>
    <xf numFmtId="4" fontId="11" fillId="0" borderId="3" xfId="8" applyNumberFormat="1" applyFont="1" applyFill="1" applyBorder="1" applyAlignment="1">
      <alignment horizontal="right" vertical="top" wrapText="1"/>
    </xf>
    <xf numFmtId="4" fontId="1" fillId="0" borderId="3" xfId="0" applyNumberFormat="1" applyFont="1" applyFill="1" applyBorder="1" applyAlignment="1">
      <alignment horizontal="right" vertical="top"/>
    </xf>
    <xf numFmtId="4" fontId="0" fillId="0" borderId="0" xfId="0" applyNumberFormat="1" applyBorder="1" applyAlignment="1">
      <alignment horizontal="right"/>
    </xf>
    <xf numFmtId="4" fontId="0" fillId="0" borderId="3" xfId="0" applyNumberFormat="1" applyBorder="1" applyAlignment="1">
      <alignment horizontal="right" vertical="top"/>
    </xf>
    <xf numFmtId="4" fontId="0" fillId="0" borderId="3" xfId="0" applyNumberFormat="1" applyBorder="1"/>
    <xf numFmtId="0" fontId="0" fillId="2" borderId="3" xfId="0" applyFill="1" applyBorder="1" applyAlignment="1">
      <alignment horizontal="left" vertical="top"/>
    </xf>
    <xf numFmtId="0" fontId="1" fillId="2" borderId="3" xfId="0" applyFont="1" applyFill="1" applyBorder="1" applyAlignment="1">
      <alignment horizontal="justify" vertical="top"/>
    </xf>
    <xf numFmtId="4" fontId="0" fillId="2" borderId="3" xfId="0" applyNumberFormat="1" applyFill="1" applyBorder="1" applyAlignment="1">
      <alignment horizontal="right" vertical="top"/>
    </xf>
    <xf numFmtId="4" fontId="0" fillId="2" borderId="3" xfId="0" applyNumberFormat="1" applyFill="1" applyBorder="1"/>
    <xf numFmtId="4" fontId="1" fillId="2" borderId="3" xfId="0" applyNumberFormat="1" applyFont="1" applyFill="1" applyBorder="1" applyAlignment="1">
      <alignment horizontal="right" vertical="top"/>
    </xf>
    <xf numFmtId="0" fontId="0" fillId="3" borderId="0" xfId="0" applyFill="1" applyAlignment="1">
      <alignment horizontal="left" vertical="top"/>
    </xf>
    <xf numFmtId="0" fontId="1" fillId="3" borderId="0" xfId="0" applyFont="1" applyFill="1" applyAlignment="1">
      <alignment horizontal="justify" vertical="top"/>
    </xf>
    <xf numFmtId="4" fontId="11" fillId="0" borderId="3" xfId="2" applyNumberFormat="1" applyFont="1" applyBorder="1" applyAlignment="1">
      <alignment horizontal="center"/>
    </xf>
    <xf numFmtId="4" fontId="11" fillId="0" borderId="3" xfId="2" applyNumberFormat="1" applyFont="1" applyBorder="1"/>
    <xf numFmtId="4" fontId="12" fillId="0" borderId="3" xfId="8" applyNumberFormat="1" applyFont="1" applyFill="1" applyBorder="1" applyAlignment="1" applyProtection="1">
      <alignment horizontal="right" wrapText="1"/>
      <protection locked="0"/>
    </xf>
    <xf numFmtId="4" fontId="11" fillId="0" borderId="3" xfId="8" applyNumberFormat="1" applyFont="1" applyFill="1" applyBorder="1" applyAlignment="1">
      <alignment horizontal="right" wrapText="1"/>
    </xf>
    <xf numFmtId="4" fontId="0" fillId="2" borderId="2" xfId="0" applyNumberFormat="1" applyFill="1" applyBorder="1" applyAlignment="1" applyProtection="1">
      <alignment horizontal="right" vertical="top"/>
      <protection locked="0"/>
    </xf>
    <xf numFmtId="4" fontId="0" fillId="2" borderId="0" xfId="0" applyNumberFormat="1" applyFill="1" applyBorder="1" applyAlignment="1" applyProtection="1">
      <alignment horizontal="right" vertical="top"/>
      <protection locked="0"/>
    </xf>
    <xf numFmtId="4" fontId="1" fillId="2" borderId="3" xfId="0" applyNumberFormat="1" applyFont="1" applyFill="1" applyBorder="1" applyAlignment="1" applyProtection="1">
      <alignment horizontal="right" vertical="top"/>
      <protection locked="0"/>
    </xf>
    <xf numFmtId="4" fontId="0" fillId="2" borderId="0" xfId="0" applyNumberFormat="1" applyFill="1" applyAlignment="1" applyProtection="1">
      <alignment horizontal="right" vertical="top"/>
      <protection locked="0"/>
    </xf>
    <xf numFmtId="4" fontId="1" fillId="2" borderId="0" xfId="0" applyNumberFormat="1" applyFont="1" applyFill="1" applyAlignment="1" applyProtection="1">
      <alignment horizontal="right" vertical="top"/>
      <protection locked="0"/>
    </xf>
    <xf numFmtId="4" fontId="3" fillId="2" borderId="0" xfId="2" applyNumberFormat="1" applyFill="1" applyProtection="1">
      <protection locked="0"/>
    </xf>
    <xf numFmtId="4" fontId="5" fillId="2" borderId="0" xfId="2" applyNumberFormat="1" applyFont="1" applyFill="1" applyProtection="1">
      <protection locked="0"/>
    </xf>
    <xf numFmtId="4" fontId="5" fillId="2" borderId="0" xfId="2" applyNumberFormat="1" applyFont="1" applyFill="1" applyBorder="1" applyProtection="1">
      <protection locked="0"/>
    </xf>
    <xf numFmtId="4" fontId="11" fillId="2" borderId="3" xfId="2" applyNumberFormat="1" applyFont="1" applyFill="1" applyBorder="1" applyAlignment="1" applyProtection="1">
      <alignment vertical="top"/>
      <protection locked="0"/>
    </xf>
    <xf numFmtId="4" fontId="5" fillId="2" borderId="2" xfId="2" applyNumberFormat="1" applyFont="1" applyFill="1" applyBorder="1" applyProtection="1">
      <protection locked="0"/>
    </xf>
    <xf numFmtId="4" fontId="11" fillId="2" borderId="3" xfId="2" applyNumberFormat="1" applyFont="1" applyFill="1" applyBorder="1" applyProtection="1">
      <protection locked="0"/>
    </xf>
    <xf numFmtId="4" fontId="1" fillId="2" borderId="1" xfId="0" applyNumberFormat="1" applyFont="1" applyFill="1" applyBorder="1" applyAlignment="1" applyProtection="1">
      <alignment horizontal="right" vertical="top"/>
      <protection locked="0"/>
    </xf>
    <xf numFmtId="166" fontId="15" fillId="0" borderId="4" xfId="2" quotePrefix="1" applyNumberFormat="1" applyFont="1" applyBorder="1" applyAlignment="1">
      <alignment horizontal="right" vertical="justify" wrapText="1"/>
    </xf>
    <xf numFmtId="166" fontId="15" fillId="0" borderId="5" xfId="2" quotePrefix="1" applyNumberFormat="1" applyFont="1" applyBorder="1" applyAlignment="1">
      <alignment horizontal="right" vertical="justify" wrapText="1"/>
    </xf>
    <xf numFmtId="166" fontId="15" fillId="0" borderId="0" xfId="2" quotePrefix="1" applyNumberFormat="1" applyFont="1" applyBorder="1" applyAlignment="1">
      <alignment horizontal="right" vertical="justify" wrapText="1"/>
    </xf>
    <xf numFmtId="0" fontId="17" fillId="0" borderId="0" xfId="2" applyFont="1"/>
    <xf numFmtId="0" fontId="18" fillId="0" borderId="0" xfId="2" applyFont="1"/>
    <xf numFmtId="0" fontId="16" fillId="0" borderId="4" xfId="2" quotePrefix="1" applyFont="1" applyBorder="1" applyAlignment="1">
      <alignment horizontal="left" vertical="justify"/>
    </xf>
  </cellXfs>
  <cellStyles count="10">
    <cellStyle name="Hiperpovezava 2" xfId="9" xr:uid="{0C0B4358-2D70-45B7-972A-2A7D93B5878D}"/>
    <cellStyle name="Navadno" xfId="0" builtinId="0"/>
    <cellStyle name="Navadno 2" xfId="2" xr:uid="{393F4B82-0983-4429-A6F3-DE74BFE38FB5}"/>
    <cellStyle name="Navadno 3" xfId="1" xr:uid="{5B001DC2-B514-480B-BC35-14F60FEE43A3}"/>
    <cellStyle name="normal" xfId="3" xr:uid="{950E21F5-60A3-4084-ACCA-0B59CF3857D2}"/>
    <cellStyle name="normal 2" xfId="4" xr:uid="{5A3D7A16-44B3-49E0-A4CE-C8E5E0170111}"/>
    <cellStyle name="oft Excel]_x000d__x000a_Comment=The open=/f lines load custom functions into the Paste Function list._x000d__x000a_Maximized=3_x000d__x000a_Basics=1_x000d__x000a_A" xfId="5" xr:uid="{ABF4F85A-51DB-4434-9ADC-C2DC4F66597B}"/>
    <cellStyle name="ţ_x001d_đB_x000c_ęţ_x0012__x000d_ÝţU_x0001_X_x0005_•_x0006__x0007__x0001__x0001_" xfId="6" xr:uid="{DBA132EA-A4AB-4401-8081-18E43407264F}"/>
    <cellStyle name="Valuta 2" xfId="7" xr:uid="{7F6848DA-6501-454F-9E7F-5706A4DA5A91}"/>
    <cellStyle name="Valuta 4" xfId="8" xr:uid="{8BD57932-8CED-48FB-A6CB-54DD55DE89B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55564</xdr:colOff>
      <xdr:row>2</xdr:row>
      <xdr:rowOff>222250</xdr:rowOff>
    </xdr:from>
    <xdr:to>
      <xdr:col>4</xdr:col>
      <xdr:colOff>150662</xdr:colOff>
      <xdr:row>16</xdr:row>
      <xdr:rowOff>0</xdr:rowOff>
    </xdr:to>
    <xdr:pic>
      <xdr:nvPicPr>
        <xdr:cNvPr id="2" name="Slika 1">
          <a:extLst>
            <a:ext uri="{FF2B5EF4-FFF2-40B4-BE49-F238E27FC236}">
              <a16:creationId xmlns:a16="http://schemas.microsoft.com/office/drawing/2014/main" id="{D06D4F56-E3E5-4920-B75C-FA95D4250E79}"/>
            </a:ext>
          </a:extLst>
        </xdr:cNvPr>
        <xdr:cNvPicPr>
          <a:picLocks noChangeAspect="1"/>
        </xdr:cNvPicPr>
      </xdr:nvPicPr>
      <xdr:blipFill>
        <a:blip xmlns:r="http://schemas.openxmlformats.org/officeDocument/2006/relationships" r:embed="rId1"/>
        <a:stretch>
          <a:fillRect/>
        </a:stretch>
      </xdr:blipFill>
      <xdr:spPr>
        <a:xfrm>
          <a:off x="579439" y="698500"/>
          <a:ext cx="4047973" cy="31115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55564</xdr:colOff>
      <xdr:row>2</xdr:row>
      <xdr:rowOff>222250</xdr:rowOff>
    </xdr:from>
    <xdr:to>
      <xdr:col>4</xdr:col>
      <xdr:colOff>150662</xdr:colOff>
      <xdr:row>16</xdr:row>
      <xdr:rowOff>0</xdr:rowOff>
    </xdr:to>
    <xdr:pic>
      <xdr:nvPicPr>
        <xdr:cNvPr id="2" name="Slika 1">
          <a:extLst>
            <a:ext uri="{FF2B5EF4-FFF2-40B4-BE49-F238E27FC236}">
              <a16:creationId xmlns:a16="http://schemas.microsoft.com/office/drawing/2014/main" id="{5BD14E6A-392A-494E-AA59-AB1579C947D2}"/>
            </a:ext>
          </a:extLst>
        </xdr:cNvPr>
        <xdr:cNvPicPr>
          <a:picLocks noChangeAspect="1"/>
        </xdr:cNvPicPr>
      </xdr:nvPicPr>
      <xdr:blipFill>
        <a:blip xmlns:r="http://schemas.openxmlformats.org/officeDocument/2006/relationships" r:embed="rId1"/>
        <a:stretch>
          <a:fillRect/>
        </a:stretch>
      </xdr:blipFill>
      <xdr:spPr>
        <a:xfrm>
          <a:off x="579439" y="698500"/>
          <a:ext cx="4047973" cy="311150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2</xdr:col>
      <xdr:colOff>55564</xdr:colOff>
      <xdr:row>2</xdr:row>
      <xdr:rowOff>222250</xdr:rowOff>
    </xdr:from>
    <xdr:to>
      <xdr:col>4</xdr:col>
      <xdr:colOff>150662</xdr:colOff>
      <xdr:row>16</xdr:row>
      <xdr:rowOff>0</xdr:rowOff>
    </xdr:to>
    <xdr:pic>
      <xdr:nvPicPr>
        <xdr:cNvPr id="2" name="Slika 1">
          <a:extLst>
            <a:ext uri="{FF2B5EF4-FFF2-40B4-BE49-F238E27FC236}">
              <a16:creationId xmlns:a16="http://schemas.microsoft.com/office/drawing/2014/main" id="{96AC82AA-3F25-41FA-B573-27FACF5BAD6E}"/>
            </a:ext>
          </a:extLst>
        </xdr:cNvPr>
        <xdr:cNvPicPr>
          <a:picLocks noChangeAspect="1"/>
        </xdr:cNvPicPr>
      </xdr:nvPicPr>
      <xdr:blipFill>
        <a:blip xmlns:r="http://schemas.openxmlformats.org/officeDocument/2006/relationships" r:embed="rId1"/>
        <a:stretch>
          <a:fillRect/>
        </a:stretch>
      </xdr:blipFill>
      <xdr:spPr>
        <a:xfrm>
          <a:off x="579439" y="698500"/>
          <a:ext cx="4047973" cy="3111500"/>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2</xdr:col>
      <xdr:colOff>55564</xdr:colOff>
      <xdr:row>2</xdr:row>
      <xdr:rowOff>222250</xdr:rowOff>
    </xdr:from>
    <xdr:to>
      <xdr:col>4</xdr:col>
      <xdr:colOff>150662</xdr:colOff>
      <xdr:row>16</xdr:row>
      <xdr:rowOff>0</xdr:rowOff>
    </xdr:to>
    <xdr:pic>
      <xdr:nvPicPr>
        <xdr:cNvPr id="2" name="Slika 1">
          <a:extLst>
            <a:ext uri="{FF2B5EF4-FFF2-40B4-BE49-F238E27FC236}">
              <a16:creationId xmlns:a16="http://schemas.microsoft.com/office/drawing/2014/main" id="{9993D775-B572-4B5B-B14C-8D66FDEDA7D2}"/>
            </a:ext>
          </a:extLst>
        </xdr:cNvPr>
        <xdr:cNvPicPr>
          <a:picLocks noChangeAspect="1"/>
        </xdr:cNvPicPr>
      </xdr:nvPicPr>
      <xdr:blipFill>
        <a:blip xmlns:r="http://schemas.openxmlformats.org/officeDocument/2006/relationships" r:embed="rId1"/>
        <a:stretch>
          <a:fillRect/>
        </a:stretch>
      </xdr:blipFill>
      <xdr:spPr>
        <a:xfrm>
          <a:off x="579439" y="698500"/>
          <a:ext cx="4047973" cy="3111500"/>
        </a:xfrm>
        <a:prstGeom prst="rect">
          <a:avLst/>
        </a:prstGeom>
      </xdr:spPr>
    </xdr:pic>
    <xdr:clientData/>
  </xdr:twoCellAnchor>
</xdr:wsDr>
</file>

<file path=xl/theme/theme1.xml><?xml version="1.0" encoding="utf-8"?>
<a:theme xmlns:a="http://schemas.openxmlformats.org/drawingml/2006/main" name="Officeova tema">
  <a:themeElements>
    <a:clrScheme name="Pisarna">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Pisarna">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isarna">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A205CC8-2842-44EF-BBF0-F9DB4F7ACA82}">
  <sheetPr>
    <tabColor theme="9" tint="0.79998168889431442"/>
  </sheetPr>
  <dimension ref="B1:I33"/>
  <sheetViews>
    <sheetView showGridLines="0" tabSelected="1" view="pageBreakPreview" zoomScale="120" zoomScaleNormal="100" zoomScaleSheetLayoutView="120" workbookViewId="0">
      <selection activeCell="C20" sqref="C20"/>
    </sheetView>
  </sheetViews>
  <sheetFormatPr defaultRowHeight="15"/>
  <cols>
    <col min="1" max="1" width="3.42578125" customWidth="1"/>
    <col min="2" max="2" width="4.42578125" customWidth="1"/>
    <col min="3" max="3" width="50.140625" bestFit="1" customWidth="1"/>
    <col min="5" max="5" width="14.28515625" style="65" customWidth="1"/>
    <col min="6" max="6" width="14.140625" customWidth="1"/>
    <col min="7" max="7" width="16.140625" customWidth="1"/>
    <col min="8" max="8" width="10.140625" style="58" customWidth="1"/>
    <col min="9" max="9" width="11.140625" style="59" bestFit="1" customWidth="1"/>
    <col min="10" max="10" width="10" bestFit="1" customWidth="1"/>
  </cols>
  <sheetData>
    <row r="1" spans="2:8" ht="19.5">
      <c r="B1" s="47" t="s">
        <v>342</v>
      </c>
      <c r="C1" s="47"/>
      <c r="D1" s="48"/>
      <c r="E1" s="113" t="s">
        <v>365</v>
      </c>
      <c r="F1" s="48"/>
      <c r="G1" s="48"/>
      <c r="H1" s="57"/>
    </row>
    <row r="2" spans="2:8" ht="18.75">
      <c r="B2" s="47"/>
      <c r="C2" s="47"/>
      <c r="D2" s="48"/>
      <c r="E2" s="64"/>
      <c r="F2" s="48"/>
      <c r="G2" s="48"/>
      <c r="H2" s="57"/>
    </row>
    <row r="3" spans="2:8" ht="18.75">
      <c r="B3" s="47"/>
      <c r="C3" s="47"/>
      <c r="D3" s="48"/>
      <c r="E3" s="64"/>
      <c r="F3" s="48"/>
      <c r="G3" s="48"/>
      <c r="H3" s="57"/>
    </row>
    <row r="4" spans="2:8" ht="18.75">
      <c r="B4" s="47"/>
      <c r="C4" s="47"/>
      <c r="D4" s="48"/>
      <c r="E4" s="64"/>
      <c r="F4" s="48"/>
      <c r="G4" s="48"/>
      <c r="H4" s="57"/>
    </row>
    <row r="5" spans="2:8" ht="18.75">
      <c r="B5" s="47"/>
      <c r="C5" s="47"/>
      <c r="D5" s="48"/>
      <c r="E5" s="64"/>
      <c r="F5" s="48"/>
      <c r="G5" s="48"/>
      <c r="H5" s="57"/>
    </row>
    <row r="6" spans="2:8" ht="18.75">
      <c r="B6" s="47"/>
      <c r="C6" s="47"/>
      <c r="D6" s="48"/>
      <c r="E6" s="64"/>
      <c r="F6" s="48"/>
      <c r="G6" s="48"/>
      <c r="H6" s="57"/>
    </row>
    <row r="7" spans="2:8" ht="18.75">
      <c r="B7" s="47"/>
      <c r="C7" s="47"/>
      <c r="D7" s="48"/>
      <c r="E7" s="64"/>
      <c r="F7" s="48"/>
      <c r="G7" s="48"/>
      <c r="H7" s="57"/>
    </row>
    <row r="8" spans="2:8" ht="18.75">
      <c r="B8" s="47"/>
      <c r="C8" s="47"/>
      <c r="D8" s="48"/>
      <c r="E8" s="64"/>
      <c r="F8" s="48"/>
      <c r="G8" s="48"/>
      <c r="H8" s="57"/>
    </row>
    <row r="9" spans="2:8" ht="18.75">
      <c r="B9" s="47"/>
      <c r="C9" s="47"/>
      <c r="D9" s="48"/>
      <c r="E9" s="64"/>
      <c r="F9" s="48"/>
      <c r="G9" s="48"/>
      <c r="H9" s="57"/>
    </row>
    <row r="10" spans="2:8" ht="18.75">
      <c r="B10" s="47"/>
      <c r="C10" s="47"/>
      <c r="D10" s="48"/>
      <c r="E10" s="64"/>
      <c r="F10" s="48"/>
      <c r="G10" s="48"/>
      <c r="H10" s="57"/>
    </row>
    <row r="11" spans="2:8" ht="18.75">
      <c r="B11" s="47"/>
      <c r="C11" s="47"/>
      <c r="D11" s="48"/>
      <c r="E11" s="64"/>
      <c r="F11" s="48"/>
      <c r="G11" s="48"/>
      <c r="H11" s="57"/>
    </row>
    <row r="12" spans="2:8" ht="18.75">
      <c r="B12" s="47"/>
      <c r="C12" s="47"/>
      <c r="D12" s="48"/>
      <c r="E12" s="64"/>
      <c r="F12" s="48"/>
      <c r="G12" s="48"/>
      <c r="H12" s="57"/>
    </row>
    <row r="13" spans="2:8" ht="18.75">
      <c r="B13" s="47"/>
      <c r="C13" s="47"/>
      <c r="D13" s="48"/>
      <c r="E13" s="64"/>
      <c r="F13" s="48"/>
      <c r="G13" s="48"/>
      <c r="H13" s="57"/>
    </row>
    <row r="14" spans="2:8" ht="18.75">
      <c r="B14" s="47"/>
      <c r="C14" s="47"/>
      <c r="D14" s="48"/>
      <c r="E14" s="64"/>
      <c r="F14" s="48"/>
      <c r="G14" s="48"/>
      <c r="H14" s="57"/>
    </row>
    <row r="15" spans="2:8" ht="18.75">
      <c r="B15" s="47"/>
      <c r="C15" s="47"/>
      <c r="D15" s="48"/>
      <c r="E15" s="64"/>
      <c r="F15" s="48"/>
      <c r="G15" s="48"/>
      <c r="H15" s="57"/>
    </row>
    <row r="16" spans="2:8" ht="18.75">
      <c r="B16" s="47"/>
      <c r="C16" s="47"/>
      <c r="D16" s="48"/>
      <c r="E16" s="64"/>
      <c r="F16" s="48"/>
      <c r="G16" s="48"/>
      <c r="H16" s="57"/>
    </row>
    <row r="17" spans="2:9" ht="18.75">
      <c r="B17" s="47"/>
      <c r="C17" s="47"/>
      <c r="D17" s="48"/>
      <c r="E17" s="64"/>
      <c r="F17" s="48"/>
      <c r="G17" s="48"/>
      <c r="H17" s="57"/>
    </row>
    <row r="18" spans="2:9" ht="18.75">
      <c r="B18" s="47"/>
      <c r="C18" s="47"/>
      <c r="D18" s="48"/>
      <c r="E18" s="64"/>
      <c r="F18" s="48"/>
      <c r="G18" s="48"/>
      <c r="H18" s="57"/>
    </row>
    <row r="19" spans="2:9" ht="18.75">
      <c r="B19" s="47" t="s">
        <v>345</v>
      </c>
    </row>
    <row r="20" spans="2:9">
      <c r="E20" s="65" t="s">
        <v>339</v>
      </c>
    </row>
    <row r="22" spans="2:9">
      <c r="B22" t="s">
        <v>19</v>
      </c>
      <c r="C22" t="str">
        <f>'REKAPITULACIJA I FAZA'!B19</f>
        <v>REKAPITULACIJA (I. faza)</v>
      </c>
      <c r="E22" s="66">
        <f>'REKAPITULACIJA I FAZA'!E29</f>
        <v>0</v>
      </c>
    </row>
    <row r="24" spans="2:9">
      <c r="B24" t="s">
        <v>46</v>
      </c>
      <c r="C24" t="str">
        <f>'REKAPITULACIJA II FAZA'!B19</f>
        <v>REKAPITULACIJA (II. faza)</v>
      </c>
      <c r="E24" s="66">
        <f>'REKAPITULACIJA II FAZA'!E35</f>
        <v>0</v>
      </c>
    </row>
    <row r="26" spans="2:9">
      <c r="B26" t="s">
        <v>50</v>
      </c>
      <c r="C26" t="str">
        <f>'REKAPITULACIJA III FAZA'!B19</f>
        <v>REKAPITULACIJA (III. faza)</v>
      </c>
      <c r="E26" s="66">
        <f>'REKAPITULACIJA III FAZA'!E33</f>
        <v>0</v>
      </c>
    </row>
    <row r="27" spans="2:9">
      <c r="B27" s="61"/>
      <c r="C27" s="61"/>
      <c r="D27" s="61"/>
      <c r="E27" s="66"/>
    </row>
    <row r="29" spans="2:9" s="19" customFormat="1" ht="15.75" thickBot="1">
      <c r="B29" s="67"/>
      <c r="C29" s="67" t="s">
        <v>348</v>
      </c>
      <c r="D29" s="67"/>
      <c r="E29" s="68">
        <f>SUM(E22:E27)</f>
        <v>0</v>
      </c>
      <c r="H29" s="62"/>
      <c r="I29" s="63"/>
    </row>
    <row r="30" spans="2:9" ht="15.75" thickTop="1"/>
    <row r="32" spans="2:9">
      <c r="B32" s="116" t="s">
        <v>367</v>
      </c>
    </row>
    <row r="33" spans="2:2">
      <c r="B33" s="117" t="s">
        <v>368</v>
      </c>
    </row>
  </sheetData>
  <sheetProtection algorithmName="SHA-512" hashValue="jwUas5Xgvssvz62rmqxwfDhSJK8xGQ3CF1T89tan2EH2am3fnb7CGxLyGr94XRmUBqh5+NV40T2mw02L0RH/MA==" saltValue="IphH8QGOiIzy+cUoe6w0gQ==" spinCount="100000" sheet="1" objects="1" scenarios="1" formatCells="0"/>
  <pageMargins left="0.9055118110236221" right="0.51181102362204722" top="0.6692913385826772" bottom="0.55118110236220474" header="0.31496062992125984" footer="0.31496062992125984"/>
  <pageSetup paperSize="9" scale="90"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76068E-49C8-4956-9E06-AEDC03682F73}">
  <sheetPr>
    <tabColor rgb="FFFF0000"/>
  </sheetPr>
  <dimension ref="A1:G331"/>
  <sheetViews>
    <sheetView showGridLines="0" view="pageBreakPreview" zoomScaleNormal="100" zoomScaleSheetLayoutView="100" workbookViewId="0">
      <selection activeCell="E76" sqref="E76"/>
    </sheetView>
  </sheetViews>
  <sheetFormatPr defaultRowHeight="15"/>
  <cols>
    <col min="1" max="1" width="10.5703125" style="3" customWidth="1"/>
    <col min="2" max="2" width="44" style="2" customWidth="1"/>
    <col min="3" max="3" width="9.5703125" style="1" customWidth="1"/>
    <col min="4" max="4" width="3.5703125" style="28" customWidth="1"/>
    <col min="5" max="5" width="11.140625" style="1" customWidth="1"/>
    <col min="6" max="6" width="4.28515625" style="1" customWidth="1"/>
    <col min="7" max="7" width="11.28515625" style="1" customWidth="1"/>
  </cols>
  <sheetData>
    <row r="1" spans="1:7" ht="19.5">
      <c r="A1" s="47" t="s">
        <v>357</v>
      </c>
      <c r="C1" s="48"/>
      <c r="D1" s="49"/>
      <c r="E1" s="48"/>
      <c r="F1" s="48"/>
      <c r="G1" s="114" t="s">
        <v>365</v>
      </c>
    </row>
    <row r="2" spans="1:7" ht="15.75" customHeight="1">
      <c r="A2" s="118" t="s">
        <v>366</v>
      </c>
      <c r="B2" s="118"/>
      <c r="C2" s="118"/>
      <c r="D2" s="118"/>
      <c r="E2" s="118"/>
      <c r="F2" s="118"/>
      <c r="G2" s="118"/>
    </row>
    <row r="3" spans="1:7" ht="18.75">
      <c r="A3" s="11"/>
      <c r="B3" s="12"/>
    </row>
    <row r="4" spans="1:7" ht="18.75">
      <c r="A4" s="5" t="s">
        <v>37</v>
      </c>
      <c r="B4" s="12"/>
    </row>
    <row r="5" spans="1:7" ht="18.75">
      <c r="A5" s="5"/>
      <c r="B5" s="12"/>
    </row>
    <row r="20" spans="1:1">
      <c r="A20" s="3" t="s">
        <v>193</v>
      </c>
    </row>
    <row r="38" spans="1:2">
      <c r="A38" s="3" t="s">
        <v>333</v>
      </c>
    </row>
    <row r="40" spans="1:2">
      <c r="A40" s="5" t="s">
        <v>0</v>
      </c>
      <c r="B40" s="6"/>
    </row>
    <row r="42" spans="1:2" ht="75">
      <c r="A42" s="3" t="s">
        <v>1</v>
      </c>
      <c r="B42" s="2" t="s">
        <v>2</v>
      </c>
    </row>
    <row r="43" spans="1:2" ht="45">
      <c r="A43" s="4" t="s">
        <v>3</v>
      </c>
      <c r="B43" s="2" t="s">
        <v>296</v>
      </c>
    </row>
    <row r="44" spans="1:2" ht="60">
      <c r="A44" s="4" t="s">
        <v>1</v>
      </c>
      <c r="B44" s="2" t="s">
        <v>5</v>
      </c>
    </row>
    <row r="45" spans="1:2" ht="105">
      <c r="A45" s="4" t="s">
        <v>1</v>
      </c>
      <c r="B45" s="2" t="s">
        <v>298</v>
      </c>
    </row>
    <row r="46" spans="1:2" ht="90">
      <c r="A46" s="4" t="s">
        <v>1</v>
      </c>
      <c r="B46" s="2" t="s">
        <v>299</v>
      </c>
    </row>
    <row r="47" spans="1:2" ht="75">
      <c r="A47" s="4" t="s">
        <v>1</v>
      </c>
      <c r="B47" s="2" t="s">
        <v>300</v>
      </c>
    </row>
    <row r="48" spans="1:2" ht="107.25" customHeight="1">
      <c r="A48" s="4" t="s">
        <v>1</v>
      </c>
      <c r="B48" s="2" t="s">
        <v>8</v>
      </c>
    </row>
    <row r="49" spans="1:2" ht="75">
      <c r="A49" s="4" t="s">
        <v>1</v>
      </c>
      <c r="B49" s="2" t="s">
        <v>9</v>
      </c>
    </row>
    <row r="50" spans="1:2" ht="75">
      <c r="A50" s="4" t="s">
        <v>1</v>
      </c>
      <c r="B50" s="2" t="s">
        <v>12</v>
      </c>
    </row>
    <row r="51" spans="1:2" ht="60">
      <c r="A51" s="4" t="s">
        <v>1</v>
      </c>
      <c r="B51" s="2" t="s">
        <v>171</v>
      </c>
    </row>
    <row r="52" spans="1:2" ht="90" customHeight="1">
      <c r="A52" s="4" t="s">
        <v>1</v>
      </c>
      <c r="B52" s="2" t="s">
        <v>16</v>
      </c>
    </row>
    <row r="54" spans="1:2">
      <c r="A54" s="5" t="s">
        <v>17</v>
      </c>
      <c r="B54" s="6" t="s">
        <v>18</v>
      </c>
    </row>
    <row r="56" spans="1:2">
      <c r="A56" s="3" t="s">
        <v>19</v>
      </c>
      <c r="B56" s="7" t="s">
        <v>205</v>
      </c>
    </row>
    <row r="57" spans="1:2" ht="105">
      <c r="B57" s="8" t="s">
        <v>22</v>
      </c>
    </row>
    <row r="58" spans="1:2">
      <c r="B58" s="9" t="s">
        <v>23</v>
      </c>
    </row>
    <row r="59" spans="1:2" ht="30">
      <c r="B59" s="9" t="s">
        <v>24</v>
      </c>
    </row>
    <row r="60" spans="1:2" ht="45">
      <c r="B60" s="9" t="s">
        <v>25</v>
      </c>
    </row>
    <row r="61" spans="1:2" ht="60">
      <c r="B61" s="9" t="s">
        <v>32</v>
      </c>
    </row>
    <row r="62" spans="1:2" ht="45">
      <c r="B62" s="9" t="s">
        <v>33</v>
      </c>
    </row>
    <row r="63" spans="1:2" ht="75">
      <c r="B63" s="9" t="s">
        <v>34</v>
      </c>
    </row>
    <row r="64" spans="1:2" ht="30">
      <c r="B64" s="9" t="s">
        <v>26</v>
      </c>
    </row>
    <row r="65" spans="1:7" ht="30">
      <c r="B65" s="9" t="s">
        <v>27</v>
      </c>
    </row>
    <row r="66" spans="1:7" ht="45">
      <c r="B66" s="9" t="s">
        <v>28</v>
      </c>
    </row>
    <row r="67" spans="1:7" ht="60">
      <c r="B67" s="9" t="s">
        <v>29</v>
      </c>
    </row>
    <row r="68" spans="1:7">
      <c r="B68" s="9" t="s">
        <v>30</v>
      </c>
    </row>
    <row r="69" spans="1:7">
      <c r="B69" s="9" t="s">
        <v>31</v>
      </c>
    </row>
    <row r="71" spans="1:7" ht="30">
      <c r="B71" s="10" t="s">
        <v>35</v>
      </c>
    </row>
    <row r="73" spans="1:7">
      <c r="B73" s="2" t="s">
        <v>36</v>
      </c>
      <c r="C73" s="1">
        <v>1</v>
      </c>
      <c r="E73" s="101">
        <v>0</v>
      </c>
      <c r="G73" s="69">
        <f>C73*E73</f>
        <v>0</v>
      </c>
    </row>
    <row r="74" spans="1:7">
      <c r="E74" s="104"/>
    </row>
    <row r="75" spans="1:7" ht="15.75" thickBot="1">
      <c r="A75" s="73"/>
      <c r="B75" s="74" t="s">
        <v>40</v>
      </c>
      <c r="C75" s="75"/>
      <c r="D75" s="76"/>
      <c r="E75" s="103"/>
      <c r="F75" s="75" t="s">
        <v>41</v>
      </c>
      <c r="G75" s="75">
        <f>SUM(G54:G74)</f>
        <v>0</v>
      </c>
    </row>
    <row r="76" spans="1:7" ht="15.75" thickTop="1">
      <c r="E76" s="104"/>
    </row>
    <row r="77" spans="1:7">
      <c r="A77" s="5" t="s">
        <v>42</v>
      </c>
      <c r="B77" s="6" t="s">
        <v>43</v>
      </c>
      <c r="E77" s="104"/>
    </row>
    <row r="78" spans="1:7">
      <c r="E78" s="104"/>
    </row>
    <row r="79" spans="1:7" ht="45">
      <c r="A79" s="3" t="s">
        <v>19</v>
      </c>
      <c r="B79" s="2" t="s">
        <v>48</v>
      </c>
      <c r="E79" s="104"/>
    </row>
    <row r="80" spans="1:7">
      <c r="E80" s="104"/>
    </row>
    <row r="81" spans="1:7">
      <c r="B81" s="2" t="s">
        <v>45</v>
      </c>
      <c r="C81" s="1">
        <f>(27*21+8*1.8+21*1)*1.05-0.52</f>
        <v>632</v>
      </c>
      <c r="E81" s="101">
        <v>0</v>
      </c>
      <c r="G81" s="69">
        <f>C81*E81</f>
        <v>0</v>
      </c>
    </row>
    <row r="82" spans="1:7">
      <c r="E82" s="104"/>
    </row>
    <row r="83" spans="1:7" ht="30">
      <c r="A83" s="3" t="s">
        <v>46</v>
      </c>
      <c r="B83" s="2" t="s">
        <v>49</v>
      </c>
      <c r="E83" s="104"/>
    </row>
    <row r="84" spans="1:7">
      <c r="E84" s="104"/>
    </row>
    <row r="85" spans="1:7">
      <c r="B85" s="2" t="s">
        <v>36</v>
      </c>
      <c r="C85" s="1">
        <v>2</v>
      </c>
      <c r="E85" s="101">
        <v>0</v>
      </c>
      <c r="G85" s="69">
        <f t="shared" ref="G85:G145" si="0">C85*E85</f>
        <v>0</v>
      </c>
    </row>
    <row r="86" spans="1:7">
      <c r="E86" s="104"/>
    </row>
    <row r="87" spans="1:7" ht="30">
      <c r="A87" s="3" t="s">
        <v>50</v>
      </c>
      <c r="B87" s="2" t="s">
        <v>51</v>
      </c>
      <c r="E87" s="104"/>
    </row>
    <row r="88" spans="1:7">
      <c r="E88" s="104"/>
    </row>
    <row r="89" spans="1:7">
      <c r="B89" s="2" t="s">
        <v>36</v>
      </c>
      <c r="C89" s="1">
        <v>2</v>
      </c>
      <c r="E89" s="101">
        <v>0</v>
      </c>
      <c r="G89" s="69">
        <f t="shared" si="0"/>
        <v>0</v>
      </c>
    </row>
    <row r="90" spans="1:7">
      <c r="E90" s="104"/>
    </row>
    <row r="91" spans="1:7" ht="30">
      <c r="A91" s="3" t="s">
        <v>52</v>
      </c>
      <c r="B91" s="2" t="s">
        <v>53</v>
      </c>
      <c r="E91" s="104"/>
    </row>
    <row r="92" spans="1:7">
      <c r="E92" s="104"/>
    </row>
    <row r="93" spans="1:7">
      <c r="B93" s="2" t="s">
        <v>36</v>
      </c>
      <c r="C93" s="1">
        <v>2</v>
      </c>
      <c r="E93" s="101"/>
      <c r="G93" s="69">
        <f t="shared" si="0"/>
        <v>0</v>
      </c>
    </row>
    <row r="94" spans="1:7">
      <c r="E94" s="104"/>
    </row>
    <row r="95" spans="1:7" ht="15.75" customHeight="1">
      <c r="A95" s="3" t="s">
        <v>54</v>
      </c>
      <c r="B95" s="2" t="s">
        <v>55</v>
      </c>
      <c r="E95" s="104"/>
    </row>
    <row r="96" spans="1:7">
      <c r="E96" s="104"/>
    </row>
    <row r="97" spans="1:7">
      <c r="B97" s="2" t="s">
        <v>56</v>
      </c>
      <c r="C97" s="1">
        <v>27</v>
      </c>
      <c r="E97" s="101">
        <v>0</v>
      </c>
      <c r="G97" s="69">
        <f t="shared" si="0"/>
        <v>0</v>
      </c>
    </row>
    <row r="98" spans="1:7">
      <c r="E98" s="104"/>
    </row>
    <row r="99" spans="1:7" ht="60">
      <c r="A99" s="3" t="s">
        <v>57</v>
      </c>
      <c r="B99" s="10" t="s">
        <v>44</v>
      </c>
      <c r="E99" s="104"/>
    </row>
    <row r="100" spans="1:7">
      <c r="E100" s="104"/>
    </row>
    <row r="101" spans="1:7">
      <c r="B101" s="2" t="s">
        <v>45</v>
      </c>
      <c r="C101" s="1">
        <f>(14*1.7*1.7+2*1.1*1.7+40*0.6*1.7+5*3.14*0.85*0.85)*1.05-0.16</f>
        <v>101.00041250000001</v>
      </c>
      <c r="E101" s="101">
        <v>0</v>
      </c>
      <c r="G101" s="69">
        <f t="shared" si="0"/>
        <v>0</v>
      </c>
    </row>
    <row r="102" spans="1:7">
      <c r="E102" s="104"/>
    </row>
    <row r="103" spans="1:7" ht="45">
      <c r="A103" s="3" t="s">
        <v>58</v>
      </c>
      <c r="B103" s="2" t="s">
        <v>60</v>
      </c>
      <c r="E103" s="104"/>
    </row>
    <row r="104" spans="1:7">
      <c r="E104" s="104"/>
    </row>
    <row r="105" spans="1:7">
      <c r="B105" s="2" t="s">
        <v>59</v>
      </c>
      <c r="C105" s="1">
        <v>3</v>
      </c>
      <c r="E105" s="101">
        <v>0</v>
      </c>
      <c r="G105" s="69">
        <f t="shared" si="0"/>
        <v>0</v>
      </c>
    </row>
    <row r="106" spans="1:7">
      <c r="E106" s="104"/>
    </row>
    <row r="107" spans="1:7" ht="30">
      <c r="A107" s="3" t="s">
        <v>61</v>
      </c>
      <c r="B107" s="2" t="s">
        <v>62</v>
      </c>
      <c r="E107" s="104"/>
    </row>
    <row r="108" spans="1:7">
      <c r="E108" s="104"/>
    </row>
    <row r="109" spans="1:7">
      <c r="B109" s="2" t="s">
        <v>63</v>
      </c>
      <c r="C109" s="1">
        <v>1</v>
      </c>
      <c r="E109" s="101">
        <v>0</v>
      </c>
      <c r="G109" s="69">
        <f t="shared" si="0"/>
        <v>0</v>
      </c>
    </row>
    <row r="110" spans="1:7">
      <c r="E110" s="104"/>
    </row>
    <row r="111" spans="1:7" ht="90" customHeight="1">
      <c r="A111" s="3" t="s">
        <v>64</v>
      </c>
      <c r="B111" s="17" t="s">
        <v>65</v>
      </c>
      <c r="E111" s="104"/>
    </row>
    <row r="112" spans="1:7">
      <c r="E112" s="104"/>
    </row>
    <row r="113" spans="1:7">
      <c r="B113" s="2" t="s">
        <v>56</v>
      </c>
      <c r="C113" s="1">
        <v>27</v>
      </c>
      <c r="E113" s="101">
        <v>0</v>
      </c>
      <c r="G113" s="69">
        <f t="shared" si="0"/>
        <v>0</v>
      </c>
    </row>
    <row r="114" spans="1:7">
      <c r="E114" s="104"/>
    </row>
    <row r="115" spans="1:7" ht="75">
      <c r="A115" s="3" t="s">
        <v>66</v>
      </c>
      <c r="B115" s="2" t="s">
        <v>67</v>
      </c>
      <c r="E115" s="104"/>
    </row>
    <row r="116" spans="1:7">
      <c r="E116" s="104"/>
    </row>
    <row r="117" spans="1:7">
      <c r="B117" s="2" t="s">
        <v>59</v>
      </c>
      <c r="C117" s="1">
        <f>27.7*4/0.8-0.5</f>
        <v>138</v>
      </c>
      <c r="E117" s="101">
        <v>0</v>
      </c>
      <c r="G117" s="69">
        <f t="shared" si="0"/>
        <v>0</v>
      </c>
    </row>
    <row r="118" spans="1:7">
      <c r="E118" s="104"/>
    </row>
    <row r="119" spans="1:7" ht="45">
      <c r="A119" s="3" t="s">
        <v>68</v>
      </c>
      <c r="B119" s="2" t="s">
        <v>302</v>
      </c>
      <c r="E119" s="104"/>
    </row>
    <row r="120" spans="1:7">
      <c r="E120" s="104"/>
    </row>
    <row r="121" spans="1:7">
      <c r="B121" s="2" t="s">
        <v>45</v>
      </c>
      <c r="C121" s="1">
        <f>(27*21+8*1.8+21*1)*1.05-0.52+11*4</f>
        <v>676</v>
      </c>
      <c r="E121" s="101">
        <v>0</v>
      </c>
      <c r="G121" s="69">
        <f t="shared" si="0"/>
        <v>0</v>
      </c>
    </row>
    <row r="122" spans="1:7">
      <c r="E122" s="104"/>
    </row>
    <row r="123" spans="1:7" ht="108" customHeight="1">
      <c r="A123" s="3" t="s">
        <v>69</v>
      </c>
      <c r="B123" s="2" t="s">
        <v>334</v>
      </c>
      <c r="E123" s="104"/>
    </row>
    <row r="124" spans="1:7">
      <c r="E124" s="104"/>
    </row>
    <row r="125" spans="1:7">
      <c r="B125" s="2" t="s">
        <v>45</v>
      </c>
      <c r="C125" s="1">
        <f>C121*0.6</f>
        <v>405.59999999999997</v>
      </c>
      <c r="E125" s="101">
        <v>0</v>
      </c>
      <c r="G125" s="69">
        <f t="shared" si="0"/>
        <v>0</v>
      </c>
    </row>
    <row r="126" spans="1:7">
      <c r="E126" s="104"/>
    </row>
    <row r="127" spans="1:7" ht="135">
      <c r="A127" s="3" t="s">
        <v>70</v>
      </c>
      <c r="B127" s="2" t="s">
        <v>305</v>
      </c>
      <c r="E127" s="104"/>
    </row>
    <row r="128" spans="1:7">
      <c r="E128" s="104"/>
    </row>
    <row r="129" spans="1:7">
      <c r="B129" s="2" t="s">
        <v>45</v>
      </c>
      <c r="C129" s="1">
        <f>C121</f>
        <v>676</v>
      </c>
      <c r="E129" s="101">
        <v>0</v>
      </c>
      <c r="G129" s="69">
        <f t="shared" si="0"/>
        <v>0</v>
      </c>
    </row>
    <row r="130" spans="1:7">
      <c r="E130" s="104"/>
    </row>
    <row r="131" spans="1:7" ht="75">
      <c r="A131" s="3" t="s">
        <v>73</v>
      </c>
      <c r="B131" s="2" t="s">
        <v>75</v>
      </c>
      <c r="E131" s="104"/>
    </row>
    <row r="132" spans="1:7">
      <c r="E132" s="104"/>
    </row>
    <row r="133" spans="1:7">
      <c r="B133" s="2" t="s">
        <v>45</v>
      </c>
      <c r="C133" s="1">
        <f>C125</f>
        <v>405.59999999999997</v>
      </c>
      <c r="E133" s="101">
        <v>0</v>
      </c>
      <c r="G133" s="69">
        <f t="shared" si="0"/>
        <v>0</v>
      </c>
    </row>
    <row r="134" spans="1:7">
      <c r="E134" s="104"/>
    </row>
    <row r="135" spans="1:7" ht="60">
      <c r="A135" s="3" t="s">
        <v>76</v>
      </c>
      <c r="B135" s="2" t="s">
        <v>83</v>
      </c>
      <c r="E135" s="104"/>
    </row>
    <row r="136" spans="1:7">
      <c r="E136" s="104"/>
    </row>
    <row r="137" spans="1:7">
      <c r="B137" s="2" t="s">
        <v>45</v>
      </c>
      <c r="C137" s="1">
        <f>C129</f>
        <v>676</v>
      </c>
      <c r="E137" s="101">
        <v>0</v>
      </c>
      <c r="G137" s="69">
        <f t="shared" si="0"/>
        <v>0</v>
      </c>
    </row>
    <row r="138" spans="1:7">
      <c r="E138" s="104"/>
    </row>
    <row r="139" spans="1:7" ht="60">
      <c r="A139" s="3" t="s">
        <v>77</v>
      </c>
      <c r="B139" s="2" t="s">
        <v>303</v>
      </c>
      <c r="E139" s="104"/>
    </row>
    <row r="140" spans="1:7">
      <c r="E140" s="104"/>
    </row>
    <row r="141" spans="1:7">
      <c r="B141" s="2" t="s">
        <v>45</v>
      </c>
      <c r="C141" s="1">
        <f>C121</f>
        <v>676</v>
      </c>
      <c r="E141" s="101">
        <v>0</v>
      </c>
      <c r="G141" s="69">
        <f t="shared" si="0"/>
        <v>0</v>
      </c>
    </row>
    <row r="142" spans="1:7">
      <c r="E142" s="104"/>
    </row>
    <row r="143" spans="1:7" ht="45">
      <c r="A143" s="3" t="s">
        <v>78</v>
      </c>
      <c r="B143" s="2" t="s">
        <v>307</v>
      </c>
      <c r="E143" s="104"/>
    </row>
    <row r="144" spans="1:7">
      <c r="E144" s="104"/>
    </row>
    <row r="145" spans="1:7">
      <c r="B145" s="2" t="s">
        <v>45</v>
      </c>
      <c r="C145" s="1">
        <v>27</v>
      </c>
      <c r="E145" s="101">
        <v>0</v>
      </c>
      <c r="G145" s="69">
        <f t="shared" si="0"/>
        <v>0</v>
      </c>
    </row>
    <row r="146" spans="1:7">
      <c r="E146" s="104"/>
    </row>
    <row r="147" spans="1:7" ht="60" customHeight="1">
      <c r="A147" s="3" t="s">
        <v>80</v>
      </c>
      <c r="B147" s="2" t="s">
        <v>308</v>
      </c>
      <c r="E147" s="104"/>
    </row>
    <row r="148" spans="1:7">
      <c r="E148" s="104"/>
    </row>
    <row r="149" spans="1:7">
      <c r="B149" s="2" t="s">
        <v>56</v>
      </c>
      <c r="C149" s="1">
        <f>(5*26.5-3*5.7-4+26.6-4-7.8)*1.05-0.51</f>
        <v>132.00000000000003</v>
      </c>
      <c r="E149" s="101">
        <v>0</v>
      </c>
      <c r="G149" s="69">
        <f t="shared" ref="G149:G185" si="1">C149*E149</f>
        <v>0</v>
      </c>
    </row>
    <row r="150" spans="1:7">
      <c r="E150" s="104"/>
    </row>
    <row r="151" spans="1:7" ht="45" customHeight="1">
      <c r="A151" s="3" t="s">
        <v>82</v>
      </c>
      <c r="B151" s="2" t="s">
        <v>309</v>
      </c>
      <c r="E151" s="104"/>
    </row>
    <row r="152" spans="1:7">
      <c r="E152" s="104"/>
    </row>
    <row r="153" spans="1:7">
      <c r="B153" s="2" t="s">
        <v>56</v>
      </c>
      <c r="C153" s="1">
        <v>28</v>
      </c>
      <c r="E153" s="101">
        <v>0</v>
      </c>
      <c r="G153" s="69">
        <f t="shared" si="1"/>
        <v>0</v>
      </c>
    </row>
    <row r="154" spans="1:7">
      <c r="E154" s="104"/>
    </row>
    <row r="155" spans="1:7" ht="45">
      <c r="A155" s="3" t="s">
        <v>84</v>
      </c>
      <c r="B155" s="2" t="s">
        <v>207</v>
      </c>
      <c r="E155" s="104"/>
    </row>
    <row r="156" spans="1:7">
      <c r="E156" s="104"/>
    </row>
    <row r="157" spans="1:7">
      <c r="B157" s="2" t="s">
        <v>56</v>
      </c>
      <c r="C157" s="1">
        <v>28</v>
      </c>
      <c r="E157" s="101">
        <v>0</v>
      </c>
      <c r="G157" s="69">
        <f t="shared" si="1"/>
        <v>0</v>
      </c>
    </row>
    <row r="158" spans="1:7">
      <c r="E158" s="104"/>
    </row>
    <row r="159" spans="1:7" ht="60">
      <c r="A159" s="3" t="s">
        <v>85</v>
      </c>
      <c r="B159" s="2" t="s">
        <v>208</v>
      </c>
      <c r="E159" s="104"/>
    </row>
    <row r="160" spans="1:7">
      <c r="E160" s="104"/>
    </row>
    <row r="161" spans="1:7">
      <c r="B161" s="2" t="s">
        <v>56</v>
      </c>
      <c r="C161" s="1">
        <f>12*1.9+32*0.8+1.6</f>
        <v>50</v>
      </c>
      <c r="E161" s="101">
        <v>0</v>
      </c>
      <c r="G161" s="69">
        <f>C161*E161</f>
        <v>0</v>
      </c>
    </row>
    <row r="162" spans="1:7">
      <c r="E162" s="104"/>
    </row>
    <row r="163" spans="1:7" ht="60">
      <c r="A163" s="2" t="s">
        <v>86</v>
      </c>
      <c r="B163" s="2" t="s">
        <v>310</v>
      </c>
      <c r="E163" s="104"/>
    </row>
    <row r="164" spans="1:7">
      <c r="E164" s="104"/>
    </row>
    <row r="165" spans="1:7">
      <c r="B165" s="2" t="s">
        <v>56</v>
      </c>
      <c r="C165" s="1">
        <f>5*2*3.14*1.1+0.46</f>
        <v>35.000000000000007</v>
      </c>
      <c r="E165" s="101">
        <v>0</v>
      </c>
      <c r="G165" s="69">
        <f>C165*E165</f>
        <v>0</v>
      </c>
    </row>
    <row r="166" spans="1:7">
      <c r="E166" s="104"/>
    </row>
    <row r="167" spans="1:7" ht="45">
      <c r="A167" s="3" t="s">
        <v>91</v>
      </c>
      <c r="B167" s="2" t="s">
        <v>88</v>
      </c>
      <c r="E167" s="104"/>
    </row>
    <row r="168" spans="1:7">
      <c r="E168" s="104"/>
    </row>
    <row r="169" spans="1:7">
      <c r="B169" s="2" t="s">
        <v>56</v>
      </c>
      <c r="C169" s="1">
        <f>C161+C153+C149-C161</f>
        <v>160.00000000000003</v>
      </c>
      <c r="E169" s="101">
        <v>0</v>
      </c>
      <c r="G169" s="69">
        <f t="shared" si="1"/>
        <v>0</v>
      </c>
    </row>
    <row r="170" spans="1:7">
      <c r="E170" s="104"/>
    </row>
    <row r="171" spans="1:7">
      <c r="A171" s="3" t="s">
        <v>92</v>
      </c>
      <c r="B171" s="2" t="s">
        <v>220</v>
      </c>
      <c r="E171" s="104"/>
    </row>
    <row r="172" spans="1:7">
      <c r="E172" s="104"/>
    </row>
    <row r="173" spans="1:7">
      <c r="B173" s="2" t="s">
        <v>56</v>
      </c>
      <c r="C173" s="1">
        <f>C161</f>
        <v>50</v>
      </c>
      <c r="E173" s="101">
        <v>0</v>
      </c>
      <c r="G173" s="69">
        <f t="shared" si="1"/>
        <v>0</v>
      </c>
    </row>
    <row r="174" spans="1:7">
      <c r="E174" s="104"/>
    </row>
    <row r="175" spans="1:7" ht="60" customHeight="1">
      <c r="A175" s="3" t="s">
        <v>93</v>
      </c>
      <c r="B175" s="2" t="s">
        <v>94</v>
      </c>
      <c r="E175" s="104"/>
    </row>
    <row r="176" spans="1:7">
      <c r="E176" s="104"/>
    </row>
    <row r="177" spans="1:7">
      <c r="B177" s="2" t="s">
        <v>63</v>
      </c>
      <c r="C177" s="1">
        <v>1</v>
      </c>
      <c r="E177" s="101">
        <v>0</v>
      </c>
      <c r="G177" s="69">
        <f t="shared" si="1"/>
        <v>0</v>
      </c>
    </row>
    <row r="178" spans="1:7">
      <c r="E178" s="104"/>
    </row>
    <row r="179" spans="1:7" ht="45">
      <c r="A179" s="3" t="s">
        <v>95</v>
      </c>
      <c r="B179" s="2" t="s">
        <v>96</v>
      </c>
      <c r="E179" s="104"/>
    </row>
    <row r="180" spans="1:7">
      <c r="E180" s="104"/>
    </row>
    <row r="181" spans="1:7">
      <c r="B181" s="2" t="s">
        <v>97</v>
      </c>
      <c r="C181" s="1">
        <f>C121*0.01*1.25+C133*0.03*1.25</f>
        <v>23.659999999999997</v>
      </c>
      <c r="E181" s="101">
        <v>0</v>
      </c>
      <c r="G181" s="69">
        <f t="shared" si="1"/>
        <v>0</v>
      </c>
    </row>
    <row r="182" spans="1:7">
      <c r="E182" s="104"/>
    </row>
    <row r="183" spans="1:7" ht="45">
      <c r="A183" s="3" t="s">
        <v>104</v>
      </c>
      <c r="B183" s="2" t="s">
        <v>99</v>
      </c>
      <c r="E183" s="104"/>
    </row>
    <row r="184" spans="1:7">
      <c r="E184" s="104"/>
    </row>
    <row r="185" spans="1:7">
      <c r="B185" s="2" t="s">
        <v>63</v>
      </c>
      <c r="C185" s="1">
        <v>1</v>
      </c>
      <c r="E185" s="101">
        <v>0</v>
      </c>
      <c r="G185" s="69">
        <f t="shared" si="1"/>
        <v>0</v>
      </c>
    </row>
    <row r="186" spans="1:7">
      <c r="E186" s="104"/>
    </row>
    <row r="187" spans="1:7" ht="15.75" thickBot="1">
      <c r="A187" s="79"/>
      <c r="B187" s="74" t="s">
        <v>100</v>
      </c>
      <c r="C187" s="75"/>
      <c r="D187" s="76"/>
      <c r="E187" s="103"/>
      <c r="F187" s="75" t="s">
        <v>41</v>
      </c>
      <c r="G187" s="75">
        <f>SUM(G77:G186)</f>
        <v>0</v>
      </c>
    </row>
    <row r="188" spans="1:7" ht="15.75" thickTop="1">
      <c r="E188" s="104"/>
    </row>
    <row r="189" spans="1:7">
      <c r="A189" s="5" t="s">
        <v>105</v>
      </c>
      <c r="B189" s="6" t="s">
        <v>106</v>
      </c>
      <c r="E189" s="104"/>
    </row>
    <row r="190" spans="1:7">
      <c r="E190" s="104"/>
    </row>
    <row r="191" spans="1:7" ht="105">
      <c r="A191" s="3" t="s">
        <v>19</v>
      </c>
      <c r="B191" s="22" t="s">
        <v>107</v>
      </c>
      <c r="E191" s="104"/>
    </row>
    <row r="192" spans="1:7">
      <c r="E192" s="104"/>
    </row>
    <row r="193" spans="1:7">
      <c r="B193" s="2" t="s">
        <v>63</v>
      </c>
      <c r="C193" s="1">
        <v>1</v>
      </c>
      <c r="E193" s="101">
        <v>0</v>
      </c>
      <c r="G193" s="69">
        <f>C193*E193</f>
        <v>0</v>
      </c>
    </row>
    <row r="194" spans="1:7">
      <c r="E194" s="104"/>
    </row>
    <row r="195" spans="1:7" ht="15.75" thickBot="1">
      <c r="A195" s="79"/>
      <c r="B195" s="74" t="s">
        <v>108</v>
      </c>
      <c r="C195" s="75"/>
      <c r="D195" s="76"/>
      <c r="E195" s="103"/>
      <c r="F195" s="75" t="s">
        <v>41</v>
      </c>
      <c r="G195" s="75">
        <f>SUM(G189:G194)</f>
        <v>0</v>
      </c>
    </row>
    <row r="196" spans="1:7" ht="15.75" thickTop="1">
      <c r="E196" s="104"/>
    </row>
    <row r="197" spans="1:7">
      <c r="A197" s="5" t="s">
        <v>109</v>
      </c>
      <c r="B197" s="6" t="s">
        <v>110</v>
      </c>
      <c r="E197" s="104"/>
    </row>
    <row r="198" spans="1:7">
      <c r="A198" s="5"/>
      <c r="B198" s="6"/>
      <c r="E198" s="104"/>
    </row>
    <row r="199" spans="1:7" ht="105">
      <c r="A199" s="23" t="s">
        <v>111</v>
      </c>
      <c r="B199" s="24" t="s">
        <v>112</v>
      </c>
      <c r="E199" s="104"/>
    </row>
    <row r="200" spans="1:7">
      <c r="A200" s="5"/>
      <c r="B200" s="6"/>
      <c r="E200" s="104"/>
    </row>
    <row r="201" spans="1:7" ht="60">
      <c r="A201" s="3" t="s">
        <v>19</v>
      </c>
      <c r="B201" s="2" t="s">
        <v>113</v>
      </c>
      <c r="E201" s="104"/>
    </row>
    <row r="202" spans="1:7">
      <c r="E202" s="104"/>
    </row>
    <row r="203" spans="1:7">
      <c r="A203" s="3" t="s">
        <v>114</v>
      </c>
      <c r="B203" s="2" t="s">
        <v>318</v>
      </c>
      <c r="C203" s="1">
        <v>0</v>
      </c>
      <c r="E203" s="101">
        <v>0</v>
      </c>
      <c r="G203" s="69">
        <f>C203*E203</f>
        <v>0</v>
      </c>
    </row>
    <row r="204" spans="1:7">
      <c r="E204" s="104"/>
    </row>
    <row r="205" spans="1:7">
      <c r="A205" s="3" t="s">
        <v>115</v>
      </c>
      <c r="B205" s="2" t="s">
        <v>221</v>
      </c>
      <c r="C205" s="1">
        <v>6</v>
      </c>
      <c r="E205" s="101">
        <v>0</v>
      </c>
      <c r="G205" s="69">
        <f t="shared" ref="G205:G227" si="2">C205*E205</f>
        <v>0</v>
      </c>
    </row>
    <row r="206" spans="1:7">
      <c r="E206" s="104"/>
    </row>
    <row r="207" spans="1:7" ht="45" customHeight="1">
      <c r="A207" s="3" t="s">
        <v>46</v>
      </c>
      <c r="B207" s="2" t="s">
        <v>319</v>
      </c>
      <c r="E207" s="104"/>
    </row>
    <row r="208" spans="1:7">
      <c r="E208" s="104"/>
    </row>
    <row r="209" spans="1:7">
      <c r="B209" s="2" t="s">
        <v>56</v>
      </c>
      <c r="C209" s="1">
        <f>3*23</f>
        <v>69</v>
      </c>
      <c r="E209" s="101">
        <v>0</v>
      </c>
      <c r="G209" s="69">
        <f t="shared" si="2"/>
        <v>0</v>
      </c>
    </row>
    <row r="210" spans="1:7">
      <c r="E210" s="104"/>
    </row>
    <row r="211" spans="1:7">
      <c r="A211" s="3" t="s">
        <v>50</v>
      </c>
      <c r="B211" s="2" t="s">
        <v>117</v>
      </c>
      <c r="E211" s="104"/>
    </row>
    <row r="212" spans="1:7">
      <c r="E212" s="104"/>
    </row>
    <row r="213" spans="1:7">
      <c r="A213" s="3" t="s">
        <v>114</v>
      </c>
      <c r="B213" s="2" t="s">
        <v>118</v>
      </c>
      <c r="C213" s="1">
        <f>(7*27-5*5.7)*1.05-0.53</f>
        <v>167.995</v>
      </c>
      <c r="E213" s="101">
        <v>0</v>
      </c>
      <c r="G213" s="69">
        <f t="shared" si="2"/>
        <v>0</v>
      </c>
    </row>
    <row r="214" spans="1:7">
      <c r="E214" s="104"/>
    </row>
    <row r="215" spans="1:7">
      <c r="A215" s="3" t="s">
        <v>115</v>
      </c>
      <c r="B215" s="2" t="s">
        <v>222</v>
      </c>
      <c r="C215" s="1">
        <f>C205</f>
        <v>6</v>
      </c>
      <c r="E215" s="101">
        <v>0</v>
      </c>
      <c r="G215" s="69">
        <f t="shared" si="2"/>
        <v>0</v>
      </c>
    </row>
    <row r="216" spans="1:7">
      <c r="E216" s="104"/>
    </row>
    <row r="217" spans="1:7" ht="45">
      <c r="A217" s="3" t="s">
        <v>54</v>
      </c>
      <c r="B217" s="2" t="s">
        <v>335</v>
      </c>
      <c r="E217" s="104"/>
    </row>
    <row r="218" spans="1:7">
      <c r="E218" s="104"/>
    </row>
    <row r="219" spans="1:7">
      <c r="B219" s="2" t="s">
        <v>56</v>
      </c>
      <c r="C219" s="1">
        <f>28</f>
        <v>28</v>
      </c>
      <c r="E219" s="101">
        <v>0</v>
      </c>
      <c r="G219" s="69">
        <f>C219*E219</f>
        <v>0</v>
      </c>
    </row>
    <row r="220" spans="1:7">
      <c r="E220" s="104"/>
    </row>
    <row r="221" spans="1:7">
      <c r="A221" s="3" t="s">
        <v>57</v>
      </c>
      <c r="B221" s="2" t="s">
        <v>183</v>
      </c>
      <c r="E221" s="104"/>
    </row>
    <row r="222" spans="1:7">
      <c r="E222" s="104"/>
    </row>
    <row r="223" spans="1:7">
      <c r="B223" s="2" t="s">
        <v>59</v>
      </c>
      <c r="C223" s="1">
        <v>3</v>
      </c>
      <c r="E223" s="101">
        <v>0</v>
      </c>
      <c r="G223" s="69">
        <f t="shared" si="2"/>
        <v>0</v>
      </c>
    </row>
    <row r="224" spans="1:7">
      <c r="E224" s="104"/>
    </row>
    <row r="225" spans="1:7" ht="60">
      <c r="A225" s="3" t="s">
        <v>58</v>
      </c>
      <c r="B225" s="2" t="s">
        <v>123</v>
      </c>
      <c r="E225" s="104"/>
    </row>
    <row r="226" spans="1:7">
      <c r="E226" s="104"/>
    </row>
    <row r="227" spans="1:7">
      <c r="B227" s="2" t="s">
        <v>56</v>
      </c>
      <c r="C227" s="1">
        <f>C213+C215</f>
        <v>173.995</v>
      </c>
      <c r="E227" s="101">
        <v>0</v>
      </c>
      <c r="G227" s="69">
        <f t="shared" si="2"/>
        <v>0</v>
      </c>
    </row>
    <row r="228" spans="1:7">
      <c r="E228" s="104"/>
    </row>
    <row r="229" spans="1:7" ht="15.75" thickBot="1">
      <c r="A229" s="79"/>
      <c r="B229" s="74" t="s">
        <v>124</v>
      </c>
      <c r="C229" s="75"/>
      <c r="D229" s="76"/>
      <c r="E229" s="103"/>
      <c r="F229" s="75" t="s">
        <v>41</v>
      </c>
      <c r="G229" s="75">
        <f>SUM(G197:G228)</f>
        <v>0</v>
      </c>
    </row>
    <row r="230" spans="1:7" ht="15.75" thickTop="1">
      <c r="E230" s="104"/>
    </row>
    <row r="231" spans="1:7">
      <c r="A231" s="5" t="s">
        <v>125</v>
      </c>
      <c r="B231" s="6" t="s">
        <v>126</v>
      </c>
      <c r="C231" s="25"/>
      <c r="D231" s="30"/>
      <c r="E231" s="105"/>
      <c r="F231" s="25"/>
      <c r="G231" s="25"/>
    </row>
    <row r="232" spans="1:7">
      <c r="E232" s="104"/>
    </row>
    <row r="233" spans="1:7" ht="45">
      <c r="A233" s="3" t="s">
        <v>19</v>
      </c>
      <c r="B233" s="2" t="s">
        <v>127</v>
      </c>
      <c r="E233" s="104"/>
    </row>
    <row r="234" spans="1:7">
      <c r="E234" s="104"/>
    </row>
    <row r="235" spans="1:7">
      <c r="B235" s="2" t="s">
        <v>59</v>
      </c>
      <c r="C235" s="1">
        <v>1</v>
      </c>
      <c r="E235" s="101">
        <v>0</v>
      </c>
      <c r="G235" s="69">
        <f>C235*E235</f>
        <v>0</v>
      </c>
    </row>
    <row r="236" spans="1:7">
      <c r="E236" s="104"/>
    </row>
    <row r="237" spans="1:7" ht="60">
      <c r="A237" s="3" t="s">
        <v>46</v>
      </c>
      <c r="B237" s="2" t="s">
        <v>128</v>
      </c>
      <c r="E237" s="104"/>
    </row>
    <row r="238" spans="1:7">
      <c r="E238" s="104"/>
    </row>
    <row r="239" spans="1:7">
      <c r="B239" s="2" t="s">
        <v>59</v>
      </c>
      <c r="C239" s="1">
        <v>6</v>
      </c>
      <c r="E239" s="101">
        <v>0</v>
      </c>
      <c r="G239" s="69">
        <f>C239*E239</f>
        <v>0</v>
      </c>
    </row>
    <row r="240" spans="1:7">
      <c r="E240" s="104"/>
    </row>
    <row r="241" spans="1:7" ht="15.75" thickBot="1">
      <c r="A241" s="79"/>
      <c r="B241" s="74" t="s">
        <v>129</v>
      </c>
      <c r="C241" s="75"/>
      <c r="D241" s="76"/>
      <c r="E241" s="103"/>
      <c r="F241" s="75" t="s">
        <v>41</v>
      </c>
      <c r="G241" s="75">
        <f>SUM(G231:G240)</f>
        <v>0</v>
      </c>
    </row>
    <row r="242" spans="1:7" ht="15.75" thickTop="1">
      <c r="E242" s="104"/>
    </row>
    <row r="243" spans="1:7">
      <c r="A243" s="5" t="s">
        <v>134</v>
      </c>
      <c r="B243" s="6" t="s">
        <v>135</v>
      </c>
      <c r="E243" s="104"/>
    </row>
    <row r="244" spans="1:7">
      <c r="E244" s="104"/>
    </row>
    <row r="245" spans="1:7" ht="60">
      <c r="A245" s="3" t="s">
        <v>111</v>
      </c>
      <c r="B245" s="2" t="s">
        <v>139</v>
      </c>
      <c r="E245" s="104"/>
    </row>
    <row r="246" spans="1:7">
      <c r="E246" s="104"/>
    </row>
    <row r="247" spans="1:7" ht="105">
      <c r="B247" s="2" t="s">
        <v>322</v>
      </c>
      <c r="E247" s="104"/>
    </row>
    <row r="248" spans="1:7">
      <c r="E248" s="104"/>
    </row>
    <row r="249" spans="1:7" ht="180">
      <c r="A249" s="3" t="s">
        <v>19</v>
      </c>
      <c r="B249" s="2" t="s">
        <v>138</v>
      </c>
      <c r="E249" s="104"/>
    </row>
    <row r="250" spans="1:7">
      <c r="E250" s="104"/>
    </row>
    <row r="251" spans="1:7">
      <c r="B251" s="2" t="s">
        <v>59</v>
      </c>
      <c r="C251" s="1">
        <v>1</v>
      </c>
      <c r="E251" s="101">
        <v>0</v>
      </c>
      <c r="G251" s="69">
        <f>C251*E251</f>
        <v>0</v>
      </c>
    </row>
    <row r="252" spans="1:7">
      <c r="E252" s="104"/>
    </row>
    <row r="253" spans="1:7" ht="45">
      <c r="A253" s="3" t="s">
        <v>46</v>
      </c>
      <c r="B253" s="2" t="s">
        <v>142</v>
      </c>
      <c r="E253" s="104"/>
    </row>
    <row r="254" spans="1:7">
      <c r="E254" s="104"/>
    </row>
    <row r="255" spans="1:7">
      <c r="A255" s="3" t="s">
        <v>114</v>
      </c>
      <c r="B255" s="2" t="s">
        <v>323</v>
      </c>
      <c r="C255" s="1">
        <v>20</v>
      </c>
      <c r="E255" s="101">
        <v>0</v>
      </c>
      <c r="G255" s="69">
        <f>C255*E255</f>
        <v>0</v>
      </c>
    </row>
    <row r="256" spans="1:7">
      <c r="E256" s="104"/>
    </row>
    <row r="257" spans="1:7">
      <c r="A257" s="3" t="s">
        <v>115</v>
      </c>
      <c r="B257" s="2" t="s">
        <v>247</v>
      </c>
      <c r="C257" s="1">
        <v>1</v>
      </c>
      <c r="E257" s="101">
        <v>0</v>
      </c>
      <c r="G257" s="69">
        <f t="shared" ref="G257:G270" si="3">C257*E257</f>
        <v>0</v>
      </c>
    </row>
    <row r="258" spans="1:7">
      <c r="E258" s="104"/>
    </row>
    <row r="259" spans="1:7">
      <c r="A259" s="3" t="s">
        <v>116</v>
      </c>
      <c r="B259" s="2" t="s">
        <v>144</v>
      </c>
      <c r="C259" s="1">
        <v>7</v>
      </c>
      <c r="E259" s="101">
        <v>0</v>
      </c>
      <c r="G259" s="69">
        <f t="shared" si="3"/>
        <v>0</v>
      </c>
    </row>
    <row r="260" spans="1:7">
      <c r="E260" s="104"/>
    </row>
    <row r="261" spans="1:7">
      <c r="E261" s="104"/>
    </row>
    <row r="262" spans="1:7" ht="45">
      <c r="A262" s="3" t="s">
        <v>50</v>
      </c>
      <c r="B262" s="2" t="s">
        <v>192</v>
      </c>
      <c r="E262" s="104"/>
    </row>
    <row r="263" spans="1:7">
      <c r="E263" s="104"/>
    </row>
    <row r="264" spans="1:7">
      <c r="B264" s="2" t="s">
        <v>59</v>
      </c>
      <c r="C264" s="1">
        <v>10</v>
      </c>
      <c r="E264" s="101">
        <v>0</v>
      </c>
      <c r="G264" s="69">
        <f>C264*E264</f>
        <v>0</v>
      </c>
    </row>
    <row r="265" spans="1:7">
      <c r="E265" s="104"/>
    </row>
    <row r="266" spans="1:7" ht="195" customHeight="1">
      <c r="A266" s="3" t="s">
        <v>52</v>
      </c>
      <c r="B266" s="2" t="s">
        <v>184</v>
      </c>
      <c r="E266" s="104"/>
    </row>
    <row r="267" spans="1:7">
      <c r="E267" s="104"/>
    </row>
    <row r="268" spans="1:7">
      <c r="A268" s="3" t="s">
        <v>114</v>
      </c>
      <c r="B268" s="2" t="s">
        <v>324</v>
      </c>
      <c r="C268" s="1">
        <v>20</v>
      </c>
      <c r="E268" s="101">
        <v>0</v>
      </c>
      <c r="G268" s="69">
        <f t="shared" si="3"/>
        <v>0</v>
      </c>
    </row>
    <row r="269" spans="1:7">
      <c r="E269" s="104"/>
    </row>
    <row r="270" spans="1:7">
      <c r="A270" s="3" t="s">
        <v>115</v>
      </c>
      <c r="B270" s="2" t="s">
        <v>325</v>
      </c>
      <c r="C270" s="1">
        <v>1</v>
      </c>
      <c r="E270" s="101">
        <v>0</v>
      </c>
      <c r="G270" s="69">
        <f t="shared" si="3"/>
        <v>0</v>
      </c>
    </row>
    <row r="271" spans="1:7">
      <c r="E271" s="104"/>
    </row>
    <row r="272" spans="1:7">
      <c r="A272" s="3" t="s">
        <v>116</v>
      </c>
      <c r="B272" s="2" t="s">
        <v>326</v>
      </c>
      <c r="C272" s="1">
        <v>7</v>
      </c>
      <c r="E272" s="101">
        <v>0</v>
      </c>
      <c r="G272" s="69">
        <f>C272*E272</f>
        <v>0</v>
      </c>
    </row>
    <row r="273" spans="1:7">
      <c r="E273" s="104"/>
    </row>
    <row r="274" spans="1:7" ht="14.25" customHeight="1" thickBot="1">
      <c r="A274" s="79"/>
      <c r="B274" s="81" t="s">
        <v>153</v>
      </c>
      <c r="C274" s="82"/>
      <c r="D274" s="83"/>
      <c r="E274" s="109"/>
      <c r="F274" s="84" t="s">
        <v>41</v>
      </c>
      <c r="G274" s="85">
        <f>SUM(G243:G273)</f>
        <v>0</v>
      </c>
    </row>
    <row r="275" spans="1:7" ht="15.75" thickTop="1">
      <c r="B275" s="20"/>
      <c r="C275" s="31"/>
      <c r="D275" s="26"/>
      <c r="E275" s="106"/>
      <c r="F275" s="33"/>
      <c r="G275" s="32"/>
    </row>
    <row r="276" spans="1:7">
      <c r="A276" s="5" t="s">
        <v>136</v>
      </c>
      <c r="B276" s="6" t="s">
        <v>137</v>
      </c>
      <c r="E276" s="104"/>
      <c r="F276" s="34"/>
    </row>
    <row r="277" spans="1:7">
      <c r="E277" s="104"/>
      <c r="F277" s="34"/>
    </row>
    <row r="278" spans="1:7" ht="135">
      <c r="A278" s="3" t="s">
        <v>111</v>
      </c>
      <c r="B278" s="2" t="s">
        <v>140</v>
      </c>
      <c r="E278" s="104"/>
      <c r="F278" s="34"/>
    </row>
    <row r="279" spans="1:7">
      <c r="E279" s="104"/>
      <c r="F279" s="34"/>
    </row>
    <row r="280" spans="1:7" ht="90">
      <c r="A280" s="3" t="s">
        <v>19</v>
      </c>
      <c r="B280" s="17" t="s">
        <v>156</v>
      </c>
      <c r="E280" s="104"/>
      <c r="F280" s="34"/>
    </row>
    <row r="281" spans="1:7">
      <c r="B281" s="21"/>
      <c r="E281" s="104"/>
      <c r="F281" s="34"/>
    </row>
    <row r="282" spans="1:7">
      <c r="B282" s="2" t="s">
        <v>45</v>
      </c>
      <c r="C282" s="1">
        <f>C121</f>
        <v>676</v>
      </c>
      <c r="E282" s="101">
        <v>0</v>
      </c>
      <c r="F282" s="34"/>
      <c r="G282" s="69">
        <f>C282*E282</f>
        <v>0</v>
      </c>
    </row>
    <row r="283" spans="1:7">
      <c r="E283" s="104"/>
      <c r="F283" s="34"/>
    </row>
    <row r="284" spans="1:7" ht="90" customHeight="1">
      <c r="A284" s="3" t="s">
        <v>154</v>
      </c>
      <c r="B284" s="17" t="s">
        <v>155</v>
      </c>
      <c r="E284" s="104"/>
      <c r="F284" s="34"/>
    </row>
    <row r="285" spans="1:7">
      <c r="E285" s="104"/>
      <c r="F285" s="34"/>
    </row>
    <row r="286" spans="1:7">
      <c r="B286" s="2" t="s">
        <v>45</v>
      </c>
      <c r="C286" s="1">
        <f>C282</f>
        <v>676</v>
      </c>
      <c r="E286" s="101">
        <v>0</v>
      </c>
      <c r="F286" s="34"/>
      <c r="G286" s="69">
        <f>C286*E286</f>
        <v>0</v>
      </c>
    </row>
    <row r="287" spans="1:7">
      <c r="E287" s="104"/>
      <c r="F287" s="34"/>
    </row>
    <row r="288" spans="1:7" ht="255">
      <c r="A288" s="3" t="s">
        <v>50</v>
      </c>
      <c r="B288" s="17" t="s">
        <v>173</v>
      </c>
      <c r="E288" s="104"/>
      <c r="F288" s="34"/>
    </row>
    <row r="289" spans="1:7">
      <c r="B289" s="17"/>
      <c r="E289" s="104"/>
      <c r="F289" s="34"/>
    </row>
    <row r="290" spans="1:7">
      <c r="A290" s="3" t="s">
        <v>114</v>
      </c>
      <c r="B290" s="17" t="s">
        <v>327</v>
      </c>
      <c r="C290" s="1">
        <v>20</v>
      </c>
      <c r="E290" s="101">
        <v>0</v>
      </c>
      <c r="F290" s="34"/>
      <c r="G290" s="69">
        <f>C290*E290</f>
        <v>0</v>
      </c>
    </row>
    <row r="291" spans="1:7">
      <c r="B291" s="17"/>
      <c r="E291" s="104"/>
      <c r="F291" s="34"/>
    </row>
    <row r="292" spans="1:7">
      <c r="A292" s="3" t="s">
        <v>115</v>
      </c>
      <c r="B292" s="17" t="s">
        <v>248</v>
      </c>
      <c r="C292" s="1">
        <v>1</v>
      </c>
      <c r="E292" s="101">
        <v>0</v>
      </c>
      <c r="F292" s="34"/>
      <c r="G292" s="69">
        <f>C292*E292</f>
        <v>0</v>
      </c>
    </row>
    <row r="293" spans="1:7">
      <c r="B293" s="17"/>
      <c r="E293" s="104"/>
      <c r="F293" s="34"/>
    </row>
    <row r="294" spans="1:7">
      <c r="A294" s="3" t="s">
        <v>116</v>
      </c>
      <c r="B294" s="17" t="s">
        <v>147</v>
      </c>
      <c r="C294" s="1">
        <v>7</v>
      </c>
      <c r="E294" s="101">
        <v>0</v>
      </c>
      <c r="F294" s="34"/>
      <c r="G294" s="69">
        <f>C294*E294</f>
        <v>0</v>
      </c>
    </row>
    <row r="295" spans="1:7">
      <c r="B295" s="17"/>
      <c r="E295" s="104"/>
      <c r="F295" s="34"/>
    </row>
    <row r="296" spans="1:7">
      <c r="A296" s="3" t="s">
        <v>218</v>
      </c>
      <c r="B296" s="17" t="s">
        <v>328</v>
      </c>
      <c r="C296" s="1">
        <v>5</v>
      </c>
      <c r="E296" s="101">
        <v>0</v>
      </c>
      <c r="F296" s="34"/>
      <c r="G296" s="69">
        <f>C296*E296</f>
        <v>0</v>
      </c>
    </row>
    <row r="297" spans="1:7">
      <c r="B297" s="17"/>
      <c r="E297" s="104"/>
      <c r="F297" s="34"/>
    </row>
    <row r="298" spans="1:7" ht="45">
      <c r="A298" s="3" t="s">
        <v>52</v>
      </c>
      <c r="B298" s="17" t="s">
        <v>158</v>
      </c>
      <c r="E298" s="104"/>
      <c r="F298" s="34"/>
    </row>
    <row r="299" spans="1:7">
      <c r="B299" s="17"/>
      <c r="E299" s="104"/>
      <c r="F299" s="34"/>
    </row>
    <row r="300" spans="1:7">
      <c r="B300" s="17" t="s">
        <v>45</v>
      </c>
      <c r="C300" s="1">
        <v>1</v>
      </c>
      <c r="E300" s="101">
        <v>0</v>
      </c>
      <c r="F300" s="34"/>
      <c r="G300" s="69">
        <f>C300*E300</f>
        <v>0</v>
      </c>
    </row>
    <row r="301" spans="1:7">
      <c r="B301" s="17"/>
      <c r="E301" s="104"/>
      <c r="F301" s="34"/>
    </row>
    <row r="302" spans="1:7" ht="15.75" thickBot="1">
      <c r="A302" s="79"/>
      <c r="B302" s="74" t="s">
        <v>160</v>
      </c>
      <c r="C302" s="75"/>
      <c r="D302" s="76"/>
      <c r="E302" s="103"/>
      <c r="F302" s="86" t="s">
        <v>41</v>
      </c>
      <c r="G302" s="75">
        <f>SUM(G276:G301)</f>
        <v>0</v>
      </c>
    </row>
    <row r="303" spans="1:7" ht="15.75" thickTop="1">
      <c r="F303" s="34"/>
    </row>
    <row r="304" spans="1:7">
      <c r="A304" s="5" t="s">
        <v>161</v>
      </c>
      <c r="B304" s="6" t="s">
        <v>162</v>
      </c>
    </row>
    <row r="306" spans="1:7" ht="107.25" customHeight="1">
      <c r="A306" s="3">
        <v>1</v>
      </c>
      <c r="B306" s="2" t="s">
        <v>163</v>
      </c>
      <c r="G306" s="41">
        <f>(G75+G187+G195+G229+G241+G274+G302)*0.1</f>
        <v>0</v>
      </c>
    </row>
    <row r="307" spans="1:7" ht="15.75" customHeight="1">
      <c r="G307" s="41"/>
    </row>
    <row r="308" spans="1:7" ht="15.75" thickBot="1">
      <c r="A308" s="79"/>
      <c r="B308" s="74" t="s">
        <v>164</v>
      </c>
      <c r="C308" s="75"/>
      <c r="D308" s="76"/>
      <c r="E308" s="75"/>
      <c r="F308" s="75" t="s">
        <v>41</v>
      </c>
      <c r="G308" s="75">
        <f>SUM(G304:G307)</f>
        <v>0</v>
      </c>
    </row>
    <row r="309" spans="1:7" ht="15.75" thickTop="1">
      <c r="A309" s="42"/>
      <c r="B309" s="43"/>
      <c r="C309" s="44"/>
      <c r="D309" s="45"/>
      <c r="E309" s="44"/>
      <c r="F309" s="44"/>
      <c r="G309" s="44"/>
    </row>
    <row r="310" spans="1:7">
      <c r="A310" s="42"/>
      <c r="B310" s="43"/>
      <c r="C310" s="44"/>
      <c r="D310" s="45"/>
      <c r="E310" s="44"/>
      <c r="F310" s="44"/>
      <c r="G310" s="44"/>
    </row>
    <row r="312" spans="1:7">
      <c r="A312" s="95"/>
      <c r="B312" s="96" t="s">
        <v>165</v>
      </c>
    </row>
    <row r="314" spans="1:7">
      <c r="A314" s="3" t="s">
        <v>17</v>
      </c>
      <c r="B314" s="2" t="s">
        <v>18</v>
      </c>
      <c r="G314" s="69">
        <f>G75</f>
        <v>0</v>
      </c>
    </row>
    <row r="316" spans="1:7">
      <c r="A316" s="3" t="s">
        <v>42</v>
      </c>
      <c r="B316" s="2" t="s">
        <v>43</v>
      </c>
      <c r="G316" s="69">
        <f>G187</f>
        <v>0</v>
      </c>
    </row>
    <row r="318" spans="1:7">
      <c r="A318" s="3" t="s">
        <v>105</v>
      </c>
      <c r="B318" s="2" t="s">
        <v>106</v>
      </c>
      <c r="G318" s="69">
        <f>G195</f>
        <v>0</v>
      </c>
    </row>
    <row r="320" spans="1:7">
      <c r="A320" s="3" t="s">
        <v>109</v>
      </c>
      <c r="B320" s="2" t="s">
        <v>110</v>
      </c>
      <c r="G320" s="69">
        <f>G229</f>
        <v>0</v>
      </c>
    </row>
    <row r="322" spans="1:7">
      <c r="A322" s="3" t="s">
        <v>125</v>
      </c>
      <c r="B322" s="2" t="s">
        <v>126</v>
      </c>
      <c r="G322" s="69">
        <f>G241</f>
        <v>0</v>
      </c>
    </row>
    <row r="324" spans="1:7">
      <c r="A324" s="3" t="s">
        <v>134</v>
      </c>
      <c r="B324" s="2" t="s">
        <v>135</v>
      </c>
      <c r="G324" s="69">
        <f>G274</f>
        <v>0</v>
      </c>
    </row>
    <row r="326" spans="1:7">
      <c r="A326" s="3" t="s">
        <v>136</v>
      </c>
      <c r="B326" s="2" t="s">
        <v>166</v>
      </c>
      <c r="G326" s="69">
        <f>G302</f>
        <v>0</v>
      </c>
    </row>
    <row r="328" spans="1:7">
      <c r="A328" s="3" t="s">
        <v>161</v>
      </c>
      <c r="B328" s="2" t="s">
        <v>167</v>
      </c>
      <c r="G328" s="69">
        <f>G308</f>
        <v>0</v>
      </c>
    </row>
    <row r="330" spans="1:7" ht="15.75" thickBot="1">
      <c r="A330" s="73"/>
      <c r="B330" s="74" t="s">
        <v>168</v>
      </c>
      <c r="C330" s="88"/>
      <c r="D330" s="89"/>
      <c r="E330" s="88"/>
      <c r="F330" s="88"/>
      <c r="G330" s="75">
        <f>SUM(G312:G329)</f>
        <v>0</v>
      </c>
    </row>
    <row r="331" spans="1:7" ht="15.75" thickTop="1"/>
  </sheetData>
  <sheetProtection algorithmName="SHA-512" hashValue="dC3wJ6rOH+qsjdpuJFMbVEI7j5SHlAgYXyduWzmVN53p0DszMyP94/6L67cg/WP5VhsHIOiWFlZOHaHa1lv8fQ==" saltValue="IeqiuFIHHJeVYLQrtOgtMQ==" spinCount="100000" sheet="1" objects="1" scenarios="1" selectLockedCells="1"/>
  <mergeCells count="1">
    <mergeCell ref="A2:G2"/>
  </mergeCells>
  <pageMargins left="0.9055118110236221" right="0.51181102362204722" top="0.6692913385826772" bottom="0.55118110236220474" header="0.31496062992125984" footer="0.31496062992125984"/>
  <pageSetup paperSize="9" scale="90"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FFDDA32-80E6-48A7-9D08-DD362E25D251}">
  <sheetPr>
    <tabColor rgb="FFFF0000"/>
  </sheetPr>
  <dimension ref="A1:G341"/>
  <sheetViews>
    <sheetView showGridLines="0" view="pageBreakPreview" zoomScaleNormal="100" zoomScaleSheetLayoutView="100" workbookViewId="0">
      <selection activeCell="E66" sqref="E66:E276"/>
    </sheetView>
  </sheetViews>
  <sheetFormatPr defaultRowHeight="15"/>
  <cols>
    <col min="1" max="1" width="10.5703125" style="3" customWidth="1"/>
    <col min="2" max="2" width="44" style="2" customWidth="1"/>
    <col min="3" max="3" width="9.7109375" style="1" customWidth="1"/>
    <col min="4" max="4" width="3.5703125" style="28" customWidth="1"/>
    <col min="5" max="5" width="11.28515625" style="1" customWidth="1"/>
    <col min="6" max="6" width="4.85546875" style="1" customWidth="1"/>
    <col min="7" max="7" width="11.28515625" style="1" customWidth="1"/>
  </cols>
  <sheetData>
    <row r="1" spans="1:7" ht="19.5">
      <c r="A1" s="47" t="s">
        <v>358</v>
      </c>
      <c r="C1" s="48"/>
      <c r="D1" s="49"/>
      <c r="E1" s="48"/>
      <c r="F1" s="48"/>
      <c r="G1" s="114" t="s">
        <v>365</v>
      </c>
    </row>
    <row r="2" spans="1:7" ht="15.75" customHeight="1">
      <c r="A2" s="118" t="s">
        <v>366</v>
      </c>
      <c r="B2" s="118"/>
      <c r="C2" s="118"/>
      <c r="D2" s="118"/>
      <c r="E2" s="118"/>
      <c r="F2" s="118"/>
      <c r="G2" s="118"/>
    </row>
    <row r="3" spans="1:7" ht="18.75">
      <c r="A3" s="11"/>
      <c r="B3" s="12"/>
    </row>
    <row r="4" spans="1:7" ht="18.75">
      <c r="A4" s="5" t="s">
        <v>37</v>
      </c>
      <c r="B4" s="12"/>
    </row>
    <row r="5" spans="1:7" ht="18.75">
      <c r="A5" s="5"/>
      <c r="B5" s="12"/>
    </row>
    <row r="20" spans="1:1">
      <c r="A20" s="3" t="s">
        <v>193</v>
      </c>
    </row>
    <row r="33" spans="1:2">
      <c r="A33" s="5" t="s">
        <v>0</v>
      </c>
      <c r="B33" s="6"/>
    </row>
    <row r="35" spans="1:2" ht="75">
      <c r="A35" s="3" t="s">
        <v>1</v>
      </c>
      <c r="B35" s="2" t="s">
        <v>2</v>
      </c>
    </row>
    <row r="36" spans="1:2" ht="45">
      <c r="A36" s="4" t="s">
        <v>3</v>
      </c>
      <c r="B36" s="2" t="s">
        <v>226</v>
      </c>
    </row>
    <row r="37" spans="1:2" ht="60">
      <c r="A37" s="4" t="s">
        <v>1</v>
      </c>
      <c r="B37" s="2" t="s">
        <v>5</v>
      </c>
    </row>
    <row r="38" spans="1:2" ht="90">
      <c r="A38" s="4" t="s">
        <v>1</v>
      </c>
      <c r="B38" s="2" t="s">
        <v>6</v>
      </c>
    </row>
    <row r="39" spans="1:2" ht="90">
      <c r="A39" s="4" t="s">
        <v>1</v>
      </c>
      <c r="B39" s="2" t="s">
        <v>74</v>
      </c>
    </row>
    <row r="40" spans="1:2" ht="75">
      <c r="A40" s="4" t="s">
        <v>1</v>
      </c>
      <c r="B40" s="2" t="s">
        <v>7</v>
      </c>
    </row>
    <row r="41" spans="1:2" ht="105" customHeight="1">
      <c r="A41" s="4" t="s">
        <v>1</v>
      </c>
      <c r="B41" s="2" t="s">
        <v>8</v>
      </c>
    </row>
    <row r="42" spans="1:2" ht="75">
      <c r="A42" s="4" t="s">
        <v>1</v>
      </c>
      <c r="B42" s="2" t="s">
        <v>9</v>
      </c>
    </row>
    <row r="43" spans="1:2" ht="90">
      <c r="A43" s="4" t="s">
        <v>1</v>
      </c>
      <c r="B43" s="2" t="s">
        <v>259</v>
      </c>
    </row>
    <row r="44" spans="1:2" ht="60">
      <c r="A44" s="4" t="s">
        <v>1</v>
      </c>
      <c r="B44" s="2" t="s">
        <v>171</v>
      </c>
    </row>
    <row r="45" spans="1:2" ht="90">
      <c r="A45" s="4" t="s">
        <v>1</v>
      </c>
      <c r="B45" s="2" t="s">
        <v>260</v>
      </c>
    </row>
    <row r="47" spans="1:2">
      <c r="A47" s="5" t="s">
        <v>17</v>
      </c>
      <c r="B47" s="6" t="s">
        <v>18</v>
      </c>
    </row>
    <row r="49" spans="1:2">
      <c r="A49" s="3" t="s">
        <v>19</v>
      </c>
      <c r="B49" s="7" t="s">
        <v>205</v>
      </c>
    </row>
    <row r="50" spans="1:2" ht="105">
      <c r="B50" s="8" t="s">
        <v>22</v>
      </c>
    </row>
    <row r="51" spans="1:2">
      <c r="B51" s="9" t="s">
        <v>23</v>
      </c>
    </row>
    <row r="52" spans="1:2" ht="30">
      <c r="B52" s="9" t="s">
        <v>24</v>
      </c>
    </row>
    <row r="53" spans="1:2" ht="45">
      <c r="B53" s="9" t="s">
        <v>25</v>
      </c>
    </row>
    <row r="54" spans="1:2" ht="60">
      <c r="B54" s="9" t="s">
        <v>32</v>
      </c>
    </row>
    <row r="55" spans="1:2" ht="45">
      <c r="B55" s="9" t="s">
        <v>33</v>
      </c>
    </row>
    <row r="56" spans="1:2" ht="75">
      <c r="B56" s="9" t="s">
        <v>34</v>
      </c>
    </row>
    <row r="57" spans="1:2" ht="30">
      <c r="B57" s="9" t="s">
        <v>26</v>
      </c>
    </row>
    <row r="58" spans="1:2" ht="30">
      <c r="B58" s="9" t="s">
        <v>27</v>
      </c>
    </row>
    <row r="59" spans="1:2" ht="45">
      <c r="B59" s="9" t="s">
        <v>28</v>
      </c>
    </row>
    <row r="60" spans="1:2" ht="60">
      <c r="B60" s="9" t="s">
        <v>29</v>
      </c>
    </row>
    <row r="61" spans="1:2">
      <c r="B61" s="9" t="s">
        <v>30</v>
      </c>
    </row>
    <row r="62" spans="1:2">
      <c r="B62" s="9" t="s">
        <v>31</v>
      </c>
    </row>
    <row r="64" spans="1:2" ht="30">
      <c r="B64" s="10" t="s">
        <v>35</v>
      </c>
    </row>
    <row r="66" spans="1:7">
      <c r="B66" s="2" t="s">
        <v>36</v>
      </c>
      <c r="C66" s="1">
        <v>1</v>
      </c>
      <c r="E66" s="104">
        <v>0</v>
      </c>
      <c r="G66" s="1">
        <f>C66*E66</f>
        <v>0</v>
      </c>
    </row>
    <row r="67" spans="1:7" ht="15.75" thickBot="1">
      <c r="E67" s="104"/>
    </row>
    <row r="68" spans="1:7">
      <c r="A68" s="14"/>
      <c r="B68" s="15" t="s">
        <v>40</v>
      </c>
      <c r="C68" s="16"/>
      <c r="D68" s="29"/>
      <c r="E68" s="112"/>
      <c r="F68" s="16" t="s">
        <v>41</v>
      </c>
      <c r="G68" s="16">
        <f>SUM(G47:G67)</f>
        <v>0</v>
      </c>
    </row>
    <row r="69" spans="1:7">
      <c r="E69" s="104"/>
    </row>
    <row r="70" spans="1:7">
      <c r="A70" s="5" t="s">
        <v>42</v>
      </c>
      <c r="B70" s="6" t="s">
        <v>43</v>
      </c>
      <c r="E70" s="104"/>
    </row>
    <row r="71" spans="1:7">
      <c r="E71" s="104"/>
    </row>
    <row r="72" spans="1:7" ht="45">
      <c r="A72" s="3" t="s">
        <v>19</v>
      </c>
      <c r="B72" s="2" t="s">
        <v>48</v>
      </c>
      <c r="E72" s="104"/>
    </row>
    <row r="73" spans="1:7">
      <c r="E73" s="104"/>
    </row>
    <row r="74" spans="1:7">
      <c r="B74" s="2" t="s">
        <v>45</v>
      </c>
      <c r="C74" s="1">
        <f>((36.2+8.5)*6.7*1.05+0.54)*1.5</f>
        <v>472.50675000000012</v>
      </c>
      <c r="E74" s="101">
        <v>0</v>
      </c>
      <c r="G74" s="69">
        <f>C74*E74</f>
        <v>0</v>
      </c>
    </row>
    <row r="75" spans="1:7">
      <c r="E75" s="104"/>
    </row>
    <row r="76" spans="1:7" ht="30">
      <c r="A76" s="3" t="s">
        <v>46</v>
      </c>
      <c r="B76" s="2" t="s">
        <v>49</v>
      </c>
      <c r="E76" s="104"/>
    </row>
    <row r="77" spans="1:7">
      <c r="E77" s="104"/>
    </row>
    <row r="78" spans="1:7">
      <c r="B78" s="2" t="s">
        <v>36</v>
      </c>
      <c r="C78" s="1">
        <v>2</v>
      </c>
      <c r="E78" s="101">
        <v>0</v>
      </c>
      <c r="G78" s="69">
        <f t="shared" ref="G78:G138" si="0">C78*E78</f>
        <v>0</v>
      </c>
    </row>
    <row r="79" spans="1:7">
      <c r="E79" s="104"/>
    </row>
    <row r="80" spans="1:7" ht="30">
      <c r="A80" s="3" t="s">
        <v>50</v>
      </c>
      <c r="B80" s="2" t="s">
        <v>51</v>
      </c>
      <c r="E80" s="104"/>
    </row>
    <row r="81" spans="1:7">
      <c r="E81" s="104"/>
    </row>
    <row r="82" spans="1:7">
      <c r="B82" s="2" t="s">
        <v>36</v>
      </c>
      <c r="C82" s="1">
        <v>2</v>
      </c>
      <c r="E82" s="101">
        <v>0</v>
      </c>
      <c r="G82" s="69">
        <f t="shared" si="0"/>
        <v>0</v>
      </c>
    </row>
    <row r="83" spans="1:7">
      <c r="E83" s="104"/>
    </row>
    <row r="84" spans="1:7" ht="30">
      <c r="A84" s="3" t="s">
        <v>52</v>
      </c>
      <c r="B84" s="2" t="s">
        <v>53</v>
      </c>
      <c r="E84" s="104"/>
    </row>
    <row r="85" spans="1:7">
      <c r="E85" s="104"/>
    </row>
    <row r="86" spans="1:7">
      <c r="B86" s="2" t="s">
        <v>36</v>
      </c>
      <c r="C86" s="1">
        <v>2</v>
      </c>
      <c r="E86" s="101">
        <v>0</v>
      </c>
      <c r="G86" s="69">
        <f t="shared" si="0"/>
        <v>0</v>
      </c>
    </row>
    <row r="87" spans="1:7">
      <c r="E87" s="104"/>
    </row>
    <row r="88" spans="1:7" ht="30">
      <c r="A88" s="3" t="s">
        <v>54</v>
      </c>
      <c r="B88" s="2" t="s">
        <v>261</v>
      </c>
      <c r="E88" s="104"/>
    </row>
    <row r="89" spans="1:7">
      <c r="E89" s="104"/>
    </row>
    <row r="90" spans="1:7">
      <c r="B90" s="2" t="s">
        <v>56</v>
      </c>
      <c r="C90" s="1">
        <v>8.5</v>
      </c>
      <c r="E90" s="101">
        <v>0</v>
      </c>
      <c r="G90" s="69">
        <f t="shared" si="0"/>
        <v>0</v>
      </c>
    </row>
    <row r="91" spans="1:7">
      <c r="E91" s="104"/>
    </row>
    <row r="92" spans="1:7" ht="60">
      <c r="A92" s="3" t="s">
        <v>57</v>
      </c>
      <c r="B92" s="10" t="s">
        <v>44</v>
      </c>
      <c r="E92" s="104"/>
    </row>
    <row r="93" spans="1:7">
      <c r="E93" s="104"/>
    </row>
    <row r="94" spans="1:7">
      <c r="B94" s="2" t="s">
        <v>45</v>
      </c>
      <c r="C94" s="1">
        <f>(13*1.7*1.7+3*2.2*11+2*1*2)*1.05+0.12</f>
        <v>119.99850000000001</v>
      </c>
      <c r="E94" s="101">
        <v>0</v>
      </c>
      <c r="G94" s="69">
        <f t="shared" si="0"/>
        <v>0</v>
      </c>
    </row>
    <row r="95" spans="1:7">
      <c r="E95" s="104"/>
    </row>
    <row r="96" spans="1:7" ht="45">
      <c r="A96" s="3" t="s">
        <v>58</v>
      </c>
      <c r="B96" s="2" t="s">
        <v>60</v>
      </c>
      <c r="E96" s="104"/>
    </row>
    <row r="97" spans="1:7">
      <c r="E97" s="104"/>
    </row>
    <row r="98" spans="1:7">
      <c r="B98" s="2" t="s">
        <v>59</v>
      </c>
      <c r="C98" s="1">
        <v>2</v>
      </c>
      <c r="E98" s="101">
        <v>0</v>
      </c>
      <c r="G98" s="69">
        <f t="shared" si="0"/>
        <v>0</v>
      </c>
    </row>
    <row r="99" spans="1:7">
      <c r="E99" s="104"/>
    </row>
    <row r="100" spans="1:7" ht="30">
      <c r="A100" s="3" t="s">
        <v>61</v>
      </c>
      <c r="B100" s="2" t="s">
        <v>62</v>
      </c>
      <c r="E100" s="104"/>
    </row>
    <row r="101" spans="1:7">
      <c r="E101" s="104"/>
    </row>
    <row r="102" spans="1:7">
      <c r="B102" s="2" t="s">
        <v>63</v>
      </c>
      <c r="C102" s="1">
        <v>1</v>
      </c>
      <c r="E102" s="101">
        <v>0</v>
      </c>
      <c r="G102" s="69">
        <f t="shared" si="0"/>
        <v>0</v>
      </c>
    </row>
    <row r="103" spans="1:7">
      <c r="E103" s="104"/>
    </row>
    <row r="104" spans="1:7" ht="90" customHeight="1">
      <c r="A104" s="3" t="s">
        <v>64</v>
      </c>
      <c r="B104" s="17" t="s">
        <v>65</v>
      </c>
      <c r="E104" s="104"/>
    </row>
    <row r="105" spans="1:7">
      <c r="E105" s="104"/>
    </row>
    <row r="106" spans="1:7">
      <c r="B106" s="2" t="s">
        <v>56</v>
      </c>
      <c r="C106" s="1">
        <f>(35.2+7.5)*1.05+0.16</f>
        <v>44.995000000000005</v>
      </c>
      <c r="E106" s="101">
        <v>0</v>
      </c>
      <c r="G106" s="69">
        <f t="shared" si="0"/>
        <v>0</v>
      </c>
    </row>
    <row r="107" spans="1:7">
      <c r="E107" s="104"/>
    </row>
    <row r="108" spans="1:7" ht="75">
      <c r="A108" s="3" t="s">
        <v>66</v>
      </c>
      <c r="B108" s="2" t="s">
        <v>67</v>
      </c>
      <c r="E108" s="104"/>
    </row>
    <row r="109" spans="1:7">
      <c r="E109" s="104"/>
    </row>
    <row r="110" spans="1:7">
      <c r="B110" s="2" t="s">
        <v>59</v>
      </c>
      <c r="C110" s="1">
        <f>(35.2/0.8)*1.05-1.2</f>
        <v>45</v>
      </c>
      <c r="E110" s="101">
        <v>0</v>
      </c>
      <c r="G110" s="69">
        <f t="shared" si="0"/>
        <v>0</v>
      </c>
    </row>
    <row r="111" spans="1:7">
      <c r="E111" s="104"/>
    </row>
    <row r="112" spans="1:7" ht="30" customHeight="1">
      <c r="A112" s="3" t="s">
        <v>68</v>
      </c>
      <c r="B112" s="2" t="s">
        <v>47</v>
      </c>
      <c r="E112" s="104"/>
    </row>
    <row r="113" spans="1:7">
      <c r="E113" s="104"/>
    </row>
    <row r="114" spans="1:7">
      <c r="B114" s="2" t="s">
        <v>45</v>
      </c>
      <c r="C114" s="1">
        <f>(35.2*(6.7+1)+7.5*6.7-(3.4*1.7-3)-11*(3*2.2-3)+1.09)*1.5</f>
        <v>420</v>
      </c>
      <c r="E114" s="101">
        <v>0</v>
      </c>
      <c r="G114" s="69">
        <f t="shared" si="0"/>
        <v>0</v>
      </c>
    </row>
    <row r="115" spans="1:7">
      <c r="E115" s="104"/>
    </row>
    <row r="116" spans="1:7" ht="105">
      <c r="A116" s="3" t="s">
        <v>69</v>
      </c>
      <c r="B116" s="2" t="s">
        <v>72</v>
      </c>
      <c r="E116" s="104"/>
    </row>
    <row r="117" spans="1:7">
      <c r="E117" s="104"/>
    </row>
    <row r="118" spans="1:7">
      <c r="B118" s="2" t="s">
        <v>45</v>
      </c>
      <c r="C118" s="1">
        <f>C114*0.6</f>
        <v>252</v>
      </c>
      <c r="E118" s="101">
        <v>0</v>
      </c>
      <c r="G118" s="69">
        <f t="shared" si="0"/>
        <v>0</v>
      </c>
    </row>
    <row r="119" spans="1:7">
      <c r="E119" s="104"/>
    </row>
    <row r="120" spans="1:7" ht="105" customHeight="1">
      <c r="A120" s="3" t="s">
        <v>70</v>
      </c>
      <c r="B120" s="2" t="s">
        <v>71</v>
      </c>
      <c r="E120" s="104"/>
    </row>
    <row r="121" spans="1:7">
      <c r="E121" s="104"/>
    </row>
    <row r="122" spans="1:7">
      <c r="B122" s="2" t="s">
        <v>45</v>
      </c>
      <c r="C122" s="1">
        <f>C114</f>
        <v>420</v>
      </c>
      <c r="E122" s="101">
        <v>0</v>
      </c>
      <c r="G122" s="69">
        <f t="shared" si="0"/>
        <v>0</v>
      </c>
    </row>
    <row r="123" spans="1:7">
      <c r="E123" s="104"/>
    </row>
    <row r="124" spans="1:7" ht="75">
      <c r="A124" s="3" t="s">
        <v>73</v>
      </c>
      <c r="B124" s="2" t="s">
        <v>75</v>
      </c>
      <c r="E124" s="104"/>
    </row>
    <row r="125" spans="1:7">
      <c r="E125" s="104"/>
    </row>
    <row r="126" spans="1:7">
      <c r="B126" s="2" t="s">
        <v>45</v>
      </c>
      <c r="C126" s="1">
        <f>C118</f>
        <v>252</v>
      </c>
      <c r="E126" s="101">
        <v>0</v>
      </c>
      <c r="G126" s="69">
        <f t="shared" si="0"/>
        <v>0</v>
      </c>
    </row>
    <row r="127" spans="1:7">
      <c r="E127" s="104"/>
    </row>
    <row r="128" spans="1:7" ht="60">
      <c r="A128" s="3" t="s">
        <v>76</v>
      </c>
      <c r="B128" s="2" t="s">
        <v>83</v>
      </c>
      <c r="E128" s="104"/>
    </row>
    <row r="129" spans="1:7">
      <c r="E129" s="104"/>
    </row>
    <row r="130" spans="1:7">
      <c r="B130" s="2" t="s">
        <v>45</v>
      </c>
      <c r="C130" s="1">
        <f>C122</f>
        <v>420</v>
      </c>
      <c r="E130" s="101">
        <v>0</v>
      </c>
      <c r="G130" s="69">
        <f t="shared" si="0"/>
        <v>0</v>
      </c>
    </row>
    <row r="131" spans="1:7">
      <c r="E131" s="104"/>
    </row>
    <row r="132" spans="1:7" ht="45">
      <c r="A132" s="3" t="s">
        <v>77</v>
      </c>
      <c r="B132" s="2" t="s">
        <v>90</v>
      </c>
      <c r="E132" s="104"/>
    </row>
    <row r="133" spans="1:7">
      <c r="E133" s="104"/>
    </row>
    <row r="134" spans="1:7">
      <c r="B134" s="2" t="s">
        <v>45</v>
      </c>
      <c r="C134" s="1">
        <f>C130</f>
        <v>420</v>
      </c>
      <c r="E134" s="101">
        <v>0</v>
      </c>
      <c r="G134" s="69">
        <f t="shared" si="0"/>
        <v>0</v>
      </c>
    </row>
    <row r="135" spans="1:7">
      <c r="E135" s="104"/>
    </row>
    <row r="136" spans="1:7" ht="45">
      <c r="A136" s="3" t="s">
        <v>78</v>
      </c>
      <c r="B136" s="2" t="s">
        <v>89</v>
      </c>
      <c r="E136" s="104"/>
    </row>
    <row r="137" spans="1:7">
      <c r="E137" s="104"/>
    </row>
    <row r="138" spans="1:7">
      <c r="B138" s="2" t="s">
        <v>45</v>
      </c>
      <c r="C138" s="1">
        <f>(35.2-11*2.8+7.5-1.8)+0.9</f>
        <v>11.000000000000005</v>
      </c>
      <c r="E138" s="101">
        <v>0</v>
      </c>
      <c r="G138" s="69">
        <f t="shared" si="0"/>
        <v>0</v>
      </c>
    </row>
    <row r="139" spans="1:7">
      <c r="E139" s="104"/>
    </row>
    <row r="140" spans="1:7" ht="45">
      <c r="A140" s="3" t="s">
        <v>80</v>
      </c>
      <c r="B140" s="2" t="s">
        <v>262</v>
      </c>
      <c r="E140" s="104"/>
    </row>
    <row r="141" spans="1:7">
      <c r="E141" s="104"/>
    </row>
    <row r="142" spans="1:7">
      <c r="B142" s="2" t="s">
        <v>56</v>
      </c>
      <c r="C142" s="1">
        <f>36</f>
        <v>36</v>
      </c>
      <c r="E142" s="101">
        <v>0</v>
      </c>
      <c r="G142" s="69">
        <f t="shared" ref="G142:G170" si="1">C142*E142</f>
        <v>0</v>
      </c>
    </row>
    <row r="143" spans="1:7">
      <c r="E143" s="104"/>
    </row>
    <row r="144" spans="1:7" ht="45" customHeight="1">
      <c r="A144" s="3" t="s">
        <v>82</v>
      </c>
      <c r="B144" s="2" t="s">
        <v>263</v>
      </c>
      <c r="E144" s="104"/>
    </row>
    <row r="145" spans="1:7">
      <c r="E145" s="104"/>
    </row>
    <row r="146" spans="1:7">
      <c r="B146" s="2" t="s">
        <v>56</v>
      </c>
      <c r="C146" s="1">
        <f>C142</f>
        <v>36</v>
      </c>
      <c r="E146" s="101">
        <v>0</v>
      </c>
      <c r="G146" s="69">
        <f t="shared" si="1"/>
        <v>0</v>
      </c>
    </row>
    <row r="147" spans="1:7">
      <c r="E147" s="104"/>
    </row>
    <row r="148" spans="1:7" ht="45">
      <c r="A148" s="3" t="s">
        <v>84</v>
      </c>
      <c r="B148" s="2" t="s">
        <v>207</v>
      </c>
      <c r="E148" s="104"/>
    </row>
    <row r="149" spans="1:7">
      <c r="E149" s="104"/>
    </row>
    <row r="150" spans="1:7">
      <c r="B150" s="2" t="s">
        <v>56</v>
      </c>
      <c r="C150" s="1">
        <f>(35.2+7.5)+0.3</f>
        <v>43</v>
      </c>
      <c r="E150" s="101">
        <v>0</v>
      </c>
      <c r="G150" s="69">
        <f t="shared" si="1"/>
        <v>0</v>
      </c>
    </row>
    <row r="151" spans="1:7">
      <c r="E151" s="104"/>
    </row>
    <row r="152" spans="1:7" ht="45">
      <c r="A152" s="3" t="s">
        <v>85</v>
      </c>
      <c r="B152" s="2" t="s">
        <v>88</v>
      </c>
      <c r="E152" s="104"/>
    </row>
    <row r="153" spans="1:7">
      <c r="E153" s="104"/>
    </row>
    <row r="154" spans="1:7">
      <c r="B154" s="2" t="s">
        <v>56</v>
      </c>
      <c r="C154" s="1">
        <f>C142+C146-11*1.8</f>
        <v>52.2</v>
      </c>
      <c r="E154" s="101">
        <v>0</v>
      </c>
      <c r="G154" s="69">
        <f t="shared" si="1"/>
        <v>0</v>
      </c>
    </row>
    <row r="155" spans="1:7">
      <c r="E155" s="104"/>
    </row>
    <row r="156" spans="1:7">
      <c r="A156" s="3" t="s">
        <v>86</v>
      </c>
      <c r="B156" s="2" t="s">
        <v>264</v>
      </c>
      <c r="E156" s="104"/>
    </row>
    <row r="157" spans="1:7">
      <c r="E157" s="104"/>
    </row>
    <row r="158" spans="1:7">
      <c r="B158" s="2" t="s">
        <v>56</v>
      </c>
      <c r="C158" s="1">
        <f>11*1.8</f>
        <v>19.8</v>
      </c>
      <c r="E158" s="101">
        <v>0</v>
      </c>
      <c r="G158" s="69">
        <f t="shared" si="1"/>
        <v>0</v>
      </c>
    </row>
    <row r="159" spans="1:7">
      <c r="E159" s="104"/>
    </row>
    <row r="160" spans="1:7" ht="60" customHeight="1">
      <c r="A160" s="3" t="s">
        <v>91</v>
      </c>
      <c r="B160" s="2" t="s">
        <v>252</v>
      </c>
      <c r="E160" s="104"/>
    </row>
    <row r="161" spans="1:7">
      <c r="E161" s="104"/>
    </row>
    <row r="162" spans="1:7">
      <c r="B162" s="2" t="s">
        <v>63</v>
      </c>
      <c r="C162" s="1">
        <v>1</v>
      </c>
      <c r="E162" s="101">
        <v>0</v>
      </c>
      <c r="G162" s="69">
        <f t="shared" si="1"/>
        <v>0</v>
      </c>
    </row>
    <row r="163" spans="1:7">
      <c r="E163" s="104"/>
    </row>
    <row r="164" spans="1:7" ht="45">
      <c r="A164" s="3" t="s">
        <v>95</v>
      </c>
      <c r="B164" s="2" t="s">
        <v>96</v>
      </c>
      <c r="E164" s="104"/>
    </row>
    <row r="165" spans="1:7">
      <c r="E165" s="104"/>
    </row>
    <row r="166" spans="1:7">
      <c r="B166" s="2" t="s">
        <v>97</v>
      </c>
      <c r="C166" s="1">
        <f>C114*0.01*1.25+C126*0.03*1.25</f>
        <v>14.7</v>
      </c>
      <c r="E166" s="101">
        <v>0</v>
      </c>
      <c r="G166" s="69">
        <f t="shared" si="1"/>
        <v>0</v>
      </c>
    </row>
    <row r="167" spans="1:7">
      <c r="E167" s="104"/>
    </row>
    <row r="168" spans="1:7" ht="45">
      <c r="A168" s="3" t="s">
        <v>98</v>
      </c>
      <c r="B168" s="2" t="s">
        <v>99</v>
      </c>
      <c r="E168" s="104"/>
    </row>
    <row r="169" spans="1:7">
      <c r="E169" s="104"/>
    </row>
    <row r="170" spans="1:7">
      <c r="B170" s="2" t="s">
        <v>63</v>
      </c>
      <c r="C170" s="1">
        <v>1</v>
      </c>
      <c r="E170" s="101">
        <v>0</v>
      </c>
      <c r="G170" s="69">
        <f t="shared" si="1"/>
        <v>0</v>
      </c>
    </row>
    <row r="171" spans="1:7">
      <c r="E171" s="102"/>
      <c r="G171" s="72"/>
    </row>
    <row r="172" spans="1:7" ht="15.75" thickBot="1">
      <c r="A172" s="79"/>
      <c r="B172" s="74" t="s">
        <v>100</v>
      </c>
      <c r="C172" s="75"/>
      <c r="D172" s="76"/>
      <c r="E172" s="103"/>
      <c r="F172" s="75" t="s">
        <v>41</v>
      </c>
      <c r="G172" s="75">
        <f>SUM(G70:G171)</f>
        <v>0</v>
      </c>
    </row>
    <row r="173" spans="1:7" ht="15.75" thickTop="1">
      <c r="E173" s="104"/>
    </row>
    <row r="174" spans="1:7">
      <c r="A174" s="5" t="s">
        <v>105</v>
      </c>
      <c r="B174" s="6" t="s">
        <v>106</v>
      </c>
      <c r="E174" s="104"/>
    </row>
    <row r="175" spans="1:7">
      <c r="E175" s="104"/>
    </row>
    <row r="176" spans="1:7" ht="105">
      <c r="A176" s="3" t="s">
        <v>19</v>
      </c>
      <c r="B176" s="22" t="s">
        <v>107</v>
      </c>
      <c r="E176" s="104"/>
    </row>
    <row r="177" spans="1:7">
      <c r="E177" s="104"/>
    </row>
    <row r="178" spans="1:7">
      <c r="B178" s="2" t="s">
        <v>63</v>
      </c>
      <c r="C178" s="1">
        <v>1</v>
      </c>
      <c r="E178" s="101">
        <v>0</v>
      </c>
      <c r="G178" s="69">
        <f>C178*E178</f>
        <v>0</v>
      </c>
    </row>
    <row r="179" spans="1:7">
      <c r="E179" s="104"/>
    </row>
    <row r="180" spans="1:7" ht="15.75" thickBot="1">
      <c r="A180" s="79"/>
      <c r="B180" s="74" t="s">
        <v>108</v>
      </c>
      <c r="C180" s="75"/>
      <c r="D180" s="76"/>
      <c r="E180" s="103"/>
      <c r="F180" s="75" t="s">
        <v>41</v>
      </c>
      <c r="G180" s="75">
        <f>SUM(G174:G179)</f>
        <v>0</v>
      </c>
    </row>
    <row r="181" spans="1:7" ht="15.75" thickTop="1">
      <c r="E181" s="104"/>
    </row>
    <row r="182" spans="1:7">
      <c r="A182" s="5" t="s">
        <v>109</v>
      </c>
      <c r="B182" s="6" t="s">
        <v>110</v>
      </c>
      <c r="E182" s="104"/>
    </row>
    <row r="183" spans="1:7">
      <c r="A183" s="5"/>
      <c r="B183" s="6"/>
      <c r="E183" s="104"/>
    </row>
    <row r="184" spans="1:7" ht="105">
      <c r="A184" s="23" t="s">
        <v>111</v>
      </c>
      <c r="B184" s="24" t="s">
        <v>112</v>
      </c>
      <c r="E184" s="104"/>
    </row>
    <row r="185" spans="1:7">
      <c r="A185" s="5"/>
      <c r="B185" s="6"/>
      <c r="E185" s="104"/>
    </row>
    <row r="186" spans="1:7" ht="60">
      <c r="A186" s="3" t="s">
        <v>19</v>
      </c>
      <c r="B186" s="2" t="s">
        <v>113</v>
      </c>
      <c r="E186" s="104"/>
    </row>
    <row r="187" spans="1:7">
      <c r="E187" s="104"/>
    </row>
    <row r="188" spans="1:7">
      <c r="A188" s="3" t="s">
        <v>114</v>
      </c>
      <c r="B188" s="2" t="s">
        <v>265</v>
      </c>
      <c r="C188" s="1">
        <f>C154+C158</f>
        <v>72</v>
      </c>
      <c r="E188" s="101">
        <v>0</v>
      </c>
      <c r="G188" s="69">
        <f>C188*E188</f>
        <v>0</v>
      </c>
    </row>
    <row r="189" spans="1:7">
      <c r="E189" s="104"/>
    </row>
    <row r="190" spans="1:7">
      <c r="A190" s="3" t="s">
        <v>115</v>
      </c>
      <c r="B190" s="2" t="s">
        <v>266</v>
      </c>
      <c r="C190" s="1">
        <v>36</v>
      </c>
      <c r="E190" s="101">
        <v>0</v>
      </c>
      <c r="G190" s="69">
        <f>C190*E190</f>
        <v>0</v>
      </c>
    </row>
    <row r="191" spans="1:7">
      <c r="E191" s="104"/>
    </row>
    <row r="192" spans="1:7">
      <c r="A192" s="3" t="s">
        <v>116</v>
      </c>
      <c r="B192" s="2" t="s">
        <v>267</v>
      </c>
      <c r="C192" s="1">
        <v>36</v>
      </c>
      <c r="E192" s="101">
        <v>0</v>
      </c>
      <c r="G192" s="69">
        <f t="shared" ref="G192:G226" si="2">C192*E192</f>
        <v>0</v>
      </c>
    </row>
    <row r="193" spans="1:7">
      <c r="E193" s="104"/>
    </row>
    <row r="194" spans="1:7" ht="30">
      <c r="A194" s="3" t="s">
        <v>46</v>
      </c>
      <c r="B194" s="2" t="s">
        <v>274</v>
      </c>
      <c r="E194" s="104"/>
    </row>
    <row r="195" spans="1:7">
      <c r="E195" s="104"/>
    </row>
    <row r="196" spans="1:7">
      <c r="B196" s="2" t="s">
        <v>56</v>
      </c>
      <c r="C196" s="1">
        <f>2*8</f>
        <v>16</v>
      </c>
      <c r="E196" s="101">
        <v>0</v>
      </c>
      <c r="G196" s="69">
        <f t="shared" si="2"/>
        <v>0</v>
      </c>
    </row>
    <row r="197" spans="1:7">
      <c r="E197" s="104"/>
    </row>
    <row r="198" spans="1:7" ht="75">
      <c r="A198" s="3" t="s">
        <v>50</v>
      </c>
      <c r="B198" s="2" t="s">
        <v>271</v>
      </c>
      <c r="E198" s="104"/>
    </row>
    <row r="199" spans="1:7">
      <c r="E199" s="104"/>
    </row>
    <row r="200" spans="1:7">
      <c r="B200" s="2" t="s">
        <v>56</v>
      </c>
      <c r="C200" s="1">
        <v>36</v>
      </c>
      <c r="E200" s="101">
        <v>0</v>
      </c>
      <c r="G200" s="69">
        <f>C200*E200</f>
        <v>0</v>
      </c>
    </row>
    <row r="201" spans="1:7">
      <c r="E201" s="104"/>
    </row>
    <row r="202" spans="1:7">
      <c r="A202" s="3" t="s">
        <v>52</v>
      </c>
      <c r="B202" s="2" t="s">
        <v>117</v>
      </c>
      <c r="E202" s="104"/>
    </row>
    <row r="203" spans="1:7">
      <c r="E203" s="104"/>
    </row>
    <row r="204" spans="1:7">
      <c r="A204" s="3" t="s">
        <v>114</v>
      </c>
      <c r="B204" s="2" t="s">
        <v>268</v>
      </c>
      <c r="C204" s="1">
        <f>C188</f>
        <v>72</v>
      </c>
      <c r="E204" s="101">
        <v>0</v>
      </c>
      <c r="G204" s="69">
        <f t="shared" si="2"/>
        <v>0</v>
      </c>
    </row>
    <row r="205" spans="1:7">
      <c r="E205" s="104"/>
    </row>
    <row r="206" spans="1:7">
      <c r="A206" s="3" t="s">
        <v>115</v>
      </c>
      <c r="B206" s="2" t="s">
        <v>269</v>
      </c>
      <c r="C206" s="1">
        <f>C190</f>
        <v>36</v>
      </c>
      <c r="E206" s="101">
        <v>0</v>
      </c>
      <c r="G206" s="69">
        <f>C206*E206</f>
        <v>0</v>
      </c>
    </row>
    <row r="207" spans="1:7">
      <c r="E207" s="104"/>
    </row>
    <row r="208" spans="1:7" ht="45">
      <c r="A208" s="3" t="s">
        <v>54</v>
      </c>
      <c r="B208" s="2" t="s">
        <v>270</v>
      </c>
      <c r="E208" s="104"/>
    </row>
    <row r="209" spans="1:7">
      <c r="E209" s="104"/>
    </row>
    <row r="210" spans="1:7">
      <c r="B210" s="2" t="s">
        <v>45</v>
      </c>
      <c r="C210" s="1">
        <v>37</v>
      </c>
      <c r="E210" s="101">
        <v>0</v>
      </c>
      <c r="G210" s="69">
        <f>C210*E210</f>
        <v>0</v>
      </c>
    </row>
    <row r="211" spans="1:7">
      <c r="E211" s="104"/>
    </row>
    <row r="212" spans="1:7" ht="45">
      <c r="A212" s="3" t="s">
        <v>57</v>
      </c>
      <c r="B212" s="2" t="s">
        <v>272</v>
      </c>
      <c r="E212" s="104"/>
    </row>
    <row r="213" spans="1:7">
      <c r="E213" s="104"/>
    </row>
    <row r="214" spans="1:7">
      <c r="B214" s="2" t="s">
        <v>56</v>
      </c>
      <c r="C214" s="1">
        <v>36</v>
      </c>
      <c r="E214" s="101">
        <v>0</v>
      </c>
      <c r="G214" s="69">
        <f>C214*E214</f>
        <v>0</v>
      </c>
    </row>
    <row r="215" spans="1:7">
      <c r="E215" s="104"/>
    </row>
    <row r="216" spans="1:7" ht="45">
      <c r="A216" s="3" t="s">
        <v>58</v>
      </c>
      <c r="B216" s="2" t="s">
        <v>273</v>
      </c>
      <c r="E216" s="104"/>
    </row>
    <row r="217" spans="1:7">
      <c r="E217" s="104"/>
    </row>
    <row r="218" spans="1:7">
      <c r="B218" s="2" t="s">
        <v>56</v>
      </c>
      <c r="C218" s="1">
        <f>2*6.5</f>
        <v>13</v>
      </c>
      <c r="E218" s="101">
        <v>0</v>
      </c>
      <c r="G218" s="69">
        <f>C218*E218</f>
        <v>0</v>
      </c>
    </row>
    <row r="219" spans="1:7">
      <c r="E219" s="104"/>
    </row>
    <row r="220" spans="1:7">
      <c r="A220" s="3" t="s">
        <v>61</v>
      </c>
      <c r="B220" s="2" t="s">
        <v>183</v>
      </c>
      <c r="E220" s="104"/>
    </row>
    <row r="221" spans="1:7">
      <c r="E221" s="104"/>
    </row>
    <row r="222" spans="1:7">
      <c r="B222" s="2" t="s">
        <v>59</v>
      </c>
      <c r="C222" s="1">
        <v>2</v>
      </c>
      <c r="E222" s="101">
        <v>0</v>
      </c>
      <c r="G222" s="69">
        <f t="shared" si="2"/>
        <v>0</v>
      </c>
    </row>
    <row r="223" spans="1:7">
      <c r="E223" s="104"/>
    </row>
    <row r="224" spans="1:7" ht="60">
      <c r="A224" s="3" t="s">
        <v>58</v>
      </c>
      <c r="B224" s="2" t="s">
        <v>123</v>
      </c>
      <c r="E224" s="104"/>
    </row>
    <row r="225" spans="1:7">
      <c r="E225" s="104"/>
    </row>
    <row r="226" spans="1:7">
      <c r="B226" s="2" t="s">
        <v>56</v>
      </c>
      <c r="C226" s="1">
        <f>2*36</f>
        <v>72</v>
      </c>
      <c r="E226" s="101">
        <v>0</v>
      </c>
      <c r="G226" s="69">
        <f t="shared" si="2"/>
        <v>0</v>
      </c>
    </row>
    <row r="227" spans="1:7">
      <c r="E227" s="104"/>
    </row>
    <row r="228" spans="1:7" ht="15.75" thickBot="1">
      <c r="A228" s="79"/>
      <c r="B228" s="74" t="s">
        <v>124</v>
      </c>
      <c r="C228" s="75"/>
      <c r="D228" s="76"/>
      <c r="E228" s="103"/>
      <c r="F228" s="75" t="s">
        <v>41</v>
      </c>
      <c r="G228" s="75">
        <f>SUM(G182:G227)</f>
        <v>0</v>
      </c>
    </row>
    <row r="229" spans="1:7" ht="15.75" thickTop="1">
      <c r="E229" s="104"/>
    </row>
    <row r="230" spans="1:7">
      <c r="A230" s="5" t="s">
        <v>125</v>
      </c>
      <c r="B230" s="6" t="s">
        <v>126</v>
      </c>
      <c r="C230" s="25"/>
      <c r="D230" s="30"/>
      <c r="E230" s="105"/>
      <c r="F230" s="25"/>
      <c r="G230" s="25"/>
    </row>
    <row r="231" spans="1:7">
      <c r="E231" s="104"/>
    </row>
    <row r="232" spans="1:7" ht="60">
      <c r="A232" s="3" t="s">
        <v>19</v>
      </c>
      <c r="B232" s="2" t="s">
        <v>275</v>
      </c>
      <c r="E232" s="104"/>
    </row>
    <row r="233" spans="1:7">
      <c r="E233" s="104"/>
    </row>
    <row r="234" spans="1:7">
      <c r="B234" s="2" t="s">
        <v>276</v>
      </c>
      <c r="C234" s="1">
        <f>13*2</f>
        <v>26</v>
      </c>
      <c r="E234" s="101">
        <v>0</v>
      </c>
      <c r="G234" s="69">
        <f>C234*E234</f>
        <v>0</v>
      </c>
    </row>
    <row r="235" spans="1:7">
      <c r="E235" s="104"/>
    </row>
    <row r="236" spans="1:7" ht="15.75" thickBot="1">
      <c r="A236" s="79"/>
      <c r="B236" s="74" t="s">
        <v>129</v>
      </c>
      <c r="C236" s="75"/>
      <c r="D236" s="76"/>
      <c r="E236" s="103"/>
      <c r="F236" s="75" t="s">
        <v>41</v>
      </c>
      <c r="G236" s="75">
        <f>SUM(G230:G235)</f>
        <v>0</v>
      </c>
    </row>
    <row r="237" spans="1:7" ht="15.75" thickTop="1">
      <c r="E237" s="104"/>
    </row>
    <row r="238" spans="1:7">
      <c r="A238" s="5" t="s">
        <v>134</v>
      </c>
      <c r="B238" s="6" t="s">
        <v>135</v>
      </c>
      <c r="E238" s="104"/>
    </row>
    <row r="239" spans="1:7">
      <c r="E239" s="104"/>
    </row>
    <row r="240" spans="1:7" ht="60">
      <c r="A240" s="3" t="s">
        <v>111</v>
      </c>
      <c r="B240" s="2" t="s">
        <v>139</v>
      </c>
      <c r="E240" s="104"/>
    </row>
    <row r="241" spans="1:7">
      <c r="E241" s="104"/>
    </row>
    <row r="242" spans="1:7" ht="45">
      <c r="A242" s="3" t="s">
        <v>19</v>
      </c>
      <c r="B242" s="2" t="s">
        <v>277</v>
      </c>
      <c r="E242" s="104"/>
    </row>
    <row r="243" spans="1:7">
      <c r="E243" s="104"/>
    </row>
    <row r="244" spans="1:7">
      <c r="B244" s="2" t="s">
        <v>276</v>
      </c>
      <c r="C244" s="1">
        <v>33</v>
      </c>
      <c r="E244" s="101">
        <v>0</v>
      </c>
      <c r="G244" s="69">
        <f t="shared" ref="G244" si="3">C244*E244</f>
        <v>0</v>
      </c>
    </row>
    <row r="245" spans="1:7">
      <c r="E245" s="104"/>
    </row>
    <row r="246" spans="1:7" ht="15.75" thickBot="1">
      <c r="A246" s="79"/>
      <c r="B246" s="81" t="s">
        <v>153</v>
      </c>
      <c r="C246" s="82"/>
      <c r="D246" s="83"/>
      <c r="E246" s="109"/>
      <c r="F246" s="84" t="s">
        <v>41</v>
      </c>
      <c r="G246" s="85">
        <f>SUM(G238:G245)</f>
        <v>0</v>
      </c>
    </row>
    <row r="247" spans="1:7" ht="15.75" thickTop="1">
      <c r="B247" s="20"/>
      <c r="C247" s="31"/>
      <c r="D247" s="26"/>
      <c r="E247" s="106"/>
      <c r="F247" s="33"/>
      <c r="G247" s="32"/>
    </row>
    <row r="248" spans="1:7">
      <c r="A248" s="5" t="s">
        <v>136</v>
      </c>
      <c r="B248" s="6" t="s">
        <v>137</v>
      </c>
      <c r="E248" s="104"/>
      <c r="F248" s="34"/>
    </row>
    <row r="249" spans="1:7">
      <c r="E249" s="104"/>
      <c r="F249" s="34"/>
    </row>
    <row r="250" spans="1:7" ht="135">
      <c r="A250" s="3" t="s">
        <v>111</v>
      </c>
      <c r="B250" s="2" t="s">
        <v>140</v>
      </c>
      <c r="E250" s="104"/>
      <c r="F250" s="34"/>
    </row>
    <row r="251" spans="1:7">
      <c r="E251" s="104"/>
      <c r="F251" s="34"/>
    </row>
    <row r="252" spans="1:7" ht="90">
      <c r="A252" s="3" t="s">
        <v>19</v>
      </c>
      <c r="B252" s="17" t="s">
        <v>156</v>
      </c>
      <c r="E252" s="104"/>
      <c r="F252" s="34"/>
    </row>
    <row r="253" spans="1:7">
      <c r="B253" s="21"/>
      <c r="E253" s="104"/>
      <c r="F253" s="34"/>
    </row>
    <row r="254" spans="1:7">
      <c r="B254" s="2" t="s">
        <v>45</v>
      </c>
      <c r="C254" s="1">
        <f>C114</f>
        <v>420</v>
      </c>
      <c r="E254" s="101">
        <v>0</v>
      </c>
      <c r="F254" s="34"/>
      <c r="G254" s="69">
        <f>C254*E254</f>
        <v>0</v>
      </c>
    </row>
    <row r="255" spans="1:7">
      <c r="E255" s="104"/>
      <c r="F255" s="34"/>
    </row>
    <row r="256" spans="1:7" ht="90" customHeight="1">
      <c r="A256" s="3" t="s">
        <v>154</v>
      </c>
      <c r="B256" s="17" t="s">
        <v>155</v>
      </c>
      <c r="E256" s="104"/>
      <c r="F256" s="34"/>
    </row>
    <row r="257" spans="1:7">
      <c r="E257" s="104"/>
      <c r="F257" s="34"/>
    </row>
    <row r="258" spans="1:7">
      <c r="B258" s="2" t="s">
        <v>45</v>
      </c>
      <c r="C258" s="1">
        <f>C254</f>
        <v>420</v>
      </c>
      <c r="E258" s="101">
        <v>0</v>
      </c>
      <c r="F258" s="34"/>
      <c r="G258" s="69">
        <f>C258*E258</f>
        <v>0</v>
      </c>
    </row>
    <row r="259" spans="1:7">
      <c r="E259" s="104"/>
      <c r="F259" s="34"/>
    </row>
    <row r="260" spans="1:7" ht="45">
      <c r="A260" s="3" t="s">
        <v>50</v>
      </c>
      <c r="B260" s="2" t="s">
        <v>278</v>
      </c>
      <c r="E260" s="104"/>
      <c r="F260" s="34"/>
    </row>
    <row r="261" spans="1:7">
      <c r="E261" s="104"/>
      <c r="F261" s="34"/>
    </row>
    <row r="262" spans="1:7">
      <c r="B262" s="2" t="s">
        <v>59</v>
      </c>
      <c r="C262" s="1">
        <v>13</v>
      </c>
      <c r="E262" s="101">
        <v>0</v>
      </c>
      <c r="F262" s="34"/>
      <c r="G262" s="69">
        <f>C262*E262</f>
        <v>0</v>
      </c>
    </row>
    <row r="263" spans="1:7">
      <c r="E263" s="104"/>
      <c r="F263" s="34"/>
    </row>
    <row r="264" spans="1:7" ht="30">
      <c r="A264" s="3" t="s">
        <v>50</v>
      </c>
      <c r="B264" s="17" t="s">
        <v>279</v>
      </c>
      <c r="E264" s="104"/>
      <c r="F264" s="34"/>
    </row>
    <row r="265" spans="1:7">
      <c r="B265" s="17"/>
      <c r="E265" s="104"/>
      <c r="F265" s="34"/>
    </row>
    <row r="266" spans="1:7">
      <c r="B266" s="17" t="s">
        <v>59</v>
      </c>
      <c r="C266" s="1">
        <v>0</v>
      </c>
      <c r="E266" s="101">
        <v>0</v>
      </c>
      <c r="F266" s="34"/>
      <c r="G266" s="69">
        <f>C266*E266</f>
        <v>0</v>
      </c>
    </row>
    <row r="267" spans="1:7">
      <c r="B267" s="17"/>
      <c r="E267" s="104"/>
      <c r="F267" s="34"/>
    </row>
    <row r="268" spans="1:7" ht="60">
      <c r="A268" s="3" t="s">
        <v>52</v>
      </c>
      <c r="B268" s="17" t="s">
        <v>280</v>
      </c>
      <c r="E268" s="104"/>
      <c r="F268" s="34"/>
    </row>
    <row r="269" spans="1:7">
      <c r="B269" s="17"/>
      <c r="E269" s="104"/>
      <c r="F269" s="34"/>
    </row>
    <row r="270" spans="1:7">
      <c r="B270" s="17" t="s">
        <v>45</v>
      </c>
      <c r="C270" s="1">
        <f>3*2.2*11</f>
        <v>72.600000000000009</v>
      </c>
      <c r="E270" s="101">
        <v>0</v>
      </c>
      <c r="F270" s="34"/>
      <c r="G270" s="69">
        <f>C270*E270</f>
        <v>0</v>
      </c>
    </row>
    <row r="271" spans="1:7">
      <c r="B271" s="17"/>
      <c r="E271" s="104"/>
      <c r="F271" s="34"/>
    </row>
    <row r="272" spans="1:7" ht="45">
      <c r="A272" s="3" t="s">
        <v>54</v>
      </c>
      <c r="B272" s="17" t="s">
        <v>158</v>
      </c>
      <c r="E272" s="104"/>
      <c r="F272" s="34"/>
    </row>
    <row r="273" spans="1:7">
      <c r="B273" s="17"/>
      <c r="E273" s="104"/>
      <c r="F273" s="34"/>
    </row>
    <row r="274" spans="1:7">
      <c r="B274" s="17" t="s">
        <v>45</v>
      </c>
      <c r="C274" s="1">
        <v>1</v>
      </c>
      <c r="E274" s="101">
        <v>0</v>
      </c>
      <c r="F274" s="34"/>
      <c r="G274" s="69">
        <f>C274*E274</f>
        <v>0</v>
      </c>
    </row>
    <row r="275" spans="1:7">
      <c r="B275" s="17"/>
      <c r="E275" s="104"/>
      <c r="F275" s="34"/>
    </row>
    <row r="276" spans="1:7" ht="15.75" thickBot="1">
      <c r="A276" s="79"/>
      <c r="B276" s="74" t="s">
        <v>160</v>
      </c>
      <c r="C276" s="75"/>
      <c r="D276" s="76"/>
      <c r="E276" s="103"/>
      <c r="F276" s="86" t="s">
        <v>41</v>
      </c>
      <c r="G276" s="75">
        <f>SUM(G248:G275)</f>
        <v>0</v>
      </c>
    </row>
    <row r="277" spans="1:7" ht="15.75" thickTop="1">
      <c r="F277" s="34"/>
    </row>
    <row r="278" spans="1:7">
      <c r="A278" s="5" t="s">
        <v>161</v>
      </c>
      <c r="B278" s="6" t="s">
        <v>162</v>
      </c>
    </row>
    <row r="280" spans="1:7" ht="120">
      <c r="A280" s="3">
        <v>1</v>
      </c>
      <c r="B280" s="2" t="s">
        <v>163</v>
      </c>
      <c r="G280" s="41">
        <f>(G68+G172+G180+G228+G236+G246+G276)*0.1</f>
        <v>0</v>
      </c>
    </row>
    <row r="281" spans="1:7">
      <c r="G281" s="41"/>
    </row>
    <row r="282" spans="1:7" ht="15.75" thickBot="1">
      <c r="A282" s="79"/>
      <c r="B282" s="74" t="s">
        <v>164</v>
      </c>
      <c r="C282" s="75"/>
      <c r="D282" s="76"/>
      <c r="E282" s="75"/>
      <c r="F282" s="75" t="s">
        <v>41</v>
      </c>
      <c r="G282" s="75">
        <f>SUM(G278:G281)</f>
        <v>0</v>
      </c>
    </row>
    <row r="283" spans="1:7" ht="15.75" thickTop="1">
      <c r="A283" s="42"/>
      <c r="B283" s="43"/>
      <c r="C283" s="44"/>
      <c r="D283" s="45"/>
      <c r="E283" s="44"/>
      <c r="F283" s="44"/>
      <c r="G283" s="44"/>
    </row>
    <row r="285" spans="1:7">
      <c r="A285" s="95"/>
      <c r="B285" s="96" t="s">
        <v>165</v>
      </c>
    </row>
    <row r="287" spans="1:7">
      <c r="A287" s="3" t="s">
        <v>17</v>
      </c>
      <c r="B287" s="2" t="s">
        <v>18</v>
      </c>
      <c r="G287" s="69">
        <f>G68</f>
        <v>0</v>
      </c>
    </row>
    <row r="289" spans="1:7">
      <c r="A289" s="3" t="s">
        <v>42</v>
      </c>
      <c r="B289" s="2" t="s">
        <v>43</v>
      </c>
      <c r="G289" s="69">
        <f>G172</f>
        <v>0</v>
      </c>
    </row>
    <row r="291" spans="1:7">
      <c r="A291" s="3" t="s">
        <v>105</v>
      </c>
      <c r="B291" s="2" t="s">
        <v>106</v>
      </c>
      <c r="G291" s="69">
        <f>G180</f>
        <v>0</v>
      </c>
    </row>
    <row r="293" spans="1:7">
      <c r="A293" s="3" t="s">
        <v>109</v>
      </c>
      <c r="B293" s="2" t="s">
        <v>110</v>
      </c>
      <c r="G293" s="69">
        <f>G228</f>
        <v>0</v>
      </c>
    </row>
    <row r="295" spans="1:7">
      <c r="A295" s="3" t="s">
        <v>125</v>
      </c>
      <c r="B295" s="2" t="s">
        <v>126</v>
      </c>
      <c r="G295" s="69">
        <f>G236</f>
        <v>0</v>
      </c>
    </row>
    <row r="297" spans="1:7">
      <c r="A297" s="3" t="s">
        <v>134</v>
      </c>
      <c r="B297" s="2" t="s">
        <v>135</v>
      </c>
      <c r="G297" s="69">
        <f>G246</f>
        <v>0</v>
      </c>
    </row>
    <row r="299" spans="1:7">
      <c r="A299" s="3" t="s">
        <v>136</v>
      </c>
      <c r="B299" s="2" t="s">
        <v>166</v>
      </c>
      <c r="G299" s="69">
        <f>G276</f>
        <v>0</v>
      </c>
    </row>
    <row r="301" spans="1:7">
      <c r="A301" s="3" t="s">
        <v>161</v>
      </c>
      <c r="B301" s="77" t="s">
        <v>167</v>
      </c>
      <c r="C301" s="72"/>
      <c r="D301" s="78"/>
      <c r="E301" s="72"/>
      <c r="F301" s="72"/>
      <c r="G301" s="69">
        <f>G282</f>
        <v>0</v>
      </c>
    </row>
    <row r="302" spans="1:7">
      <c r="B302" s="77"/>
      <c r="C302" s="72"/>
      <c r="D302" s="78"/>
      <c r="E302" s="72"/>
      <c r="F302" s="72"/>
    </row>
    <row r="303" spans="1:7" ht="15.75" thickBot="1">
      <c r="A303" s="73"/>
      <c r="B303" s="74" t="s">
        <v>168</v>
      </c>
      <c r="C303" s="88"/>
      <c r="D303" s="89"/>
      <c r="E303" s="88"/>
      <c r="F303" s="88"/>
      <c r="G303" s="75">
        <f>SUM(G285:G302)</f>
        <v>0</v>
      </c>
    </row>
    <row r="304" spans="1:7" ht="15.75" thickTop="1"/>
    <row r="309" spans="2:7">
      <c r="B309" s="17"/>
      <c r="C309" s="31"/>
      <c r="D309" s="26"/>
      <c r="E309" s="26"/>
      <c r="F309" s="33"/>
      <c r="G309" s="32"/>
    </row>
    <row r="310" spans="2:7">
      <c r="B310" s="17"/>
      <c r="C310" s="31"/>
      <c r="D310" s="26"/>
      <c r="E310" s="26"/>
      <c r="F310" s="33"/>
      <c r="G310" s="32"/>
    </row>
    <row r="311" spans="2:7">
      <c r="B311" s="17"/>
      <c r="C311" s="31"/>
      <c r="D311" s="26"/>
      <c r="E311" s="26"/>
      <c r="F311" s="33"/>
      <c r="G311" s="32"/>
    </row>
    <row r="312" spans="2:7">
      <c r="B312" s="17"/>
      <c r="C312" s="31"/>
      <c r="D312" s="26"/>
      <c r="E312" s="26"/>
      <c r="F312" s="33"/>
      <c r="G312" s="32"/>
    </row>
    <row r="313" spans="2:7">
      <c r="B313" s="17"/>
      <c r="C313" s="31"/>
      <c r="D313" s="26"/>
      <c r="E313" s="26"/>
      <c r="F313" s="33"/>
      <c r="G313" s="32"/>
    </row>
    <row r="314" spans="2:7">
      <c r="B314" s="17"/>
      <c r="C314" s="31"/>
      <c r="D314" s="26"/>
      <c r="E314" s="26"/>
      <c r="F314" s="33"/>
      <c r="G314" s="32"/>
    </row>
    <row r="315" spans="2:7">
      <c r="B315" s="17"/>
      <c r="C315" s="31"/>
      <c r="D315" s="26"/>
      <c r="E315" s="26"/>
      <c r="F315" s="33"/>
      <c r="G315" s="32"/>
    </row>
    <row r="316" spans="2:7">
      <c r="B316" s="17"/>
      <c r="C316" s="31"/>
      <c r="D316" s="26"/>
      <c r="E316" s="26"/>
      <c r="F316" s="33"/>
      <c r="G316" s="32"/>
    </row>
    <row r="317" spans="2:7">
      <c r="B317" s="17"/>
      <c r="C317" s="31"/>
      <c r="D317" s="26"/>
      <c r="E317" s="26"/>
      <c r="F317" s="33"/>
      <c r="G317" s="32"/>
    </row>
    <row r="318" spans="2:7">
      <c r="B318" s="17"/>
      <c r="C318" s="31"/>
      <c r="D318" s="26"/>
      <c r="E318" s="26"/>
      <c r="F318" s="33"/>
      <c r="G318" s="32"/>
    </row>
    <row r="319" spans="2:7">
      <c r="B319" s="17"/>
      <c r="C319" s="31"/>
      <c r="D319" s="26"/>
      <c r="E319" s="26"/>
      <c r="F319" s="33"/>
      <c r="G319" s="32"/>
    </row>
    <row r="320" spans="2:7">
      <c r="B320" s="17"/>
      <c r="C320" s="31"/>
      <c r="D320" s="26"/>
      <c r="E320" s="26"/>
      <c r="F320" s="33"/>
      <c r="G320" s="32"/>
    </row>
    <row r="321" spans="2:7">
      <c r="B321" s="17"/>
      <c r="C321" s="31"/>
      <c r="D321" s="26"/>
      <c r="E321" s="26"/>
      <c r="F321" s="33"/>
      <c r="G321" s="32"/>
    </row>
    <row r="322" spans="2:7">
      <c r="B322" s="17"/>
      <c r="C322" s="31"/>
      <c r="D322" s="26"/>
      <c r="E322" s="26"/>
      <c r="F322" s="33"/>
      <c r="G322" s="32"/>
    </row>
    <row r="323" spans="2:7">
      <c r="B323" s="17"/>
      <c r="C323" s="31"/>
      <c r="D323" s="26"/>
      <c r="E323" s="26"/>
      <c r="F323" s="33"/>
      <c r="G323" s="32"/>
    </row>
    <row r="324" spans="2:7">
      <c r="B324" s="17"/>
      <c r="C324" s="31"/>
      <c r="D324" s="26"/>
      <c r="E324" s="26"/>
      <c r="F324" s="33"/>
      <c r="G324" s="32"/>
    </row>
    <row r="325" spans="2:7">
      <c r="B325" s="17"/>
      <c r="C325" s="31"/>
      <c r="D325" s="26"/>
      <c r="E325" s="26"/>
      <c r="F325" s="33"/>
      <c r="G325" s="32"/>
    </row>
    <row r="326" spans="2:7">
      <c r="B326" s="17"/>
      <c r="C326" s="31"/>
      <c r="D326" s="26"/>
      <c r="E326" s="26"/>
      <c r="F326" s="33"/>
      <c r="G326" s="32"/>
    </row>
    <row r="327" spans="2:7">
      <c r="B327" s="17"/>
      <c r="C327" s="31"/>
      <c r="D327" s="26"/>
      <c r="E327" s="26"/>
      <c r="F327" s="33"/>
      <c r="G327" s="32"/>
    </row>
    <row r="328" spans="2:7">
      <c r="B328" s="17"/>
      <c r="C328" s="31"/>
      <c r="D328" s="26"/>
      <c r="E328" s="26"/>
      <c r="F328" s="33"/>
      <c r="G328" s="32"/>
    </row>
    <row r="329" spans="2:7">
      <c r="B329" s="17"/>
      <c r="C329" s="31"/>
      <c r="D329" s="26"/>
      <c r="E329" s="26"/>
      <c r="F329" s="33"/>
      <c r="G329" s="32"/>
    </row>
    <row r="330" spans="2:7">
      <c r="B330" s="17"/>
      <c r="C330" s="31"/>
      <c r="D330" s="26"/>
      <c r="E330" s="26"/>
      <c r="F330" s="33"/>
      <c r="G330" s="32"/>
    </row>
    <row r="331" spans="2:7">
      <c r="B331" s="17"/>
      <c r="C331" s="31"/>
      <c r="D331" s="26"/>
      <c r="E331" s="26"/>
      <c r="F331" s="33"/>
      <c r="G331" s="32"/>
    </row>
    <row r="332" spans="2:7">
      <c r="B332" s="17"/>
      <c r="C332" s="31"/>
      <c r="D332" s="26"/>
      <c r="E332" s="26"/>
      <c r="F332" s="33"/>
      <c r="G332" s="32"/>
    </row>
    <row r="333" spans="2:7">
      <c r="B333" s="17"/>
      <c r="C333" s="31"/>
      <c r="D333" s="26"/>
      <c r="E333" s="26"/>
      <c r="F333" s="33"/>
      <c r="G333" s="32"/>
    </row>
    <row r="334" spans="2:7">
      <c r="B334" s="17"/>
      <c r="C334" s="31"/>
      <c r="D334" s="26"/>
      <c r="E334" s="26"/>
      <c r="F334" s="33"/>
      <c r="G334" s="32"/>
    </row>
    <row r="335" spans="2:7">
      <c r="B335" s="17"/>
      <c r="C335" s="31"/>
      <c r="D335" s="26"/>
      <c r="E335" s="26"/>
      <c r="F335" s="33"/>
      <c r="G335" s="32"/>
    </row>
    <row r="336" spans="2:7">
      <c r="B336" s="17"/>
      <c r="C336" s="31"/>
      <c r="D336" s="26"/>
      <c r="E336" s="26"/>
      <c r="F336" s="33"/>
      <c r="G336" s="32"/>
    </row>
    <row r="337" spans="1:7">
      <c r="B337" s="17"/>
      <c r="C337" s="31"/>
      <c r="D337" s="26"/>
      <c r="E337" s="26"/>
      <c r="F337" s="33"/>
      <c r="G337" s="32"/>
    </row>
    <row r="338" spans="1:7">
      <c r="B338" s="17"/>
      <c r="C338" s="31"/>
      <c r="D338" s="26"/>
      <c r="E338" s="26"/>
      <c r="F338" s="33"/>
      <c r="G338" s="32"/>
    </row>
    <row r="339" spans="1:7">
      <c r="A339" s="23"/>
      <c r="B339" s="17"/>
      <c r="C339" s="36"/>
      <c r="D339" s="37"/>
      <c r="E339" s="37"/>
      <c r="F339" s="38"/>
      <c r="G339" s="39"/>
    </row>
    <row r="340" spans="1:7">
      <c r="A340" s="23"/>
      <c r="B340" s="17"/>
      <c r="C340" s="36"/>
      <c r="D340" s="37"/>
      <c r="E340" s="37"/>
      <c r="F340" s="38"/>
      <c r="G340" s="39"/>
    </row>
    <row r="341" spans="1:7">
      <c r="A341" s="23"/>
      <c r="B341" s="17"/>
      <c r="C341" s="36"/>
      <c r="D341" s="37"/>
      <c r="E341" s="37"/>
      <c r="F341" s="38"/>
      <c r="G341" s="39"/>
    </row>
  </sheetData>
  <sheetProtection algorithmName="SHA-512" hashValue="QWbi92XNqZspUiAs8Dvm4aQxumdtadXuescDpypOBpE4VaOW712ILx58XWO3RNwOM8AiAB4FAt0h7UBDNCGf4A==" saltValue="SaX8FvPdZl43bsvFBR6jcw==" spinCount="100000" sheet="1" objects="1" scenarios="1" selectLockedCells="1"/>
  <mergeCells count="1">
    <mergeCell ref="A2:G2"/>
  </mergeCells>
  <pageMargins left="0.9055118110236221" right="0.51181102362204722" top="0.6692913385826772" bottom="0.55118110236220474" header="0.31496062992125984" footer="0.31496062992125984"/>
  <pageSetup paperSize="9" scale="90"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E60DEB-88DD-4E32-B2C9-EF805A732119}">
  <sheetPr>
    <tabColor rgb="FFFF0000"/>
  </sheetPr>
  <dimension ref="A1:G324"/>
  <sheetViews>
    <sheetView showGridLines="0" view="pageBreakPreview" zoomScaleNormal="100" zoomScaleSheetLayoutView="100" workbookViewId="0">
      <selection activeCell="E138" sqref="E138"/>
    </sheetView>
  </sheetViews>
  <sheetFormatPr defaultRowHeight="15"/>
  <cols>
    <col min="1" max="1" width="10.5703125" style="3" customWidth="1"/>
    <col min="2" max="2" width="44" style="2" customWidth="1"/>
    <col min="3" max="3" width="9.7109375" style="1" customWidth="1"/>
    <col min="4" max="4" width="3.5703125" style="28" customWidth="1"/>
    <col min="5" max="5" width="11" style="1" customWidth="1"/>
    <col min="6" max="6" width="4.85546875" style="1" customWidth="1"/>
    <col min="7" max="7" width="11.28515625" style="1" customWidth="1"/>
  </cols>
  <sheetData>
    <row r="1" spans="1:7" ht="19.5">
      <c r="A1" s="47" t="s">
        <v>359</v>
      </c>
      <c r="B1" s="47"/>
      <c r="C1" s="48"/>
      <c r="D1" s="49"/>
      <c r="E1" s="48"/>
      <c r="F1" s="48"/>
      <c r="G1" s="114" t="s">
        <v>365</v>
      </c>
    </row>
    <row r="2" spans="1:7" ht="15.75" customHeight="1">
      <c r="A2" s="118" t="s">
        <v>366</v>
      </c>
      <c r="B2" s="118"/>
      <c r="C2" s="118"/>
      <c r="D2" s="118"/>
      <c r="E2" s="118"/>
      <c r="F2" s="118"/>
      <c r="G2" s="118"/>
    </row>
    <row r="3" spans="1:7" ht="18.75">
      <c r="A3" s="11"/>
      <c r="B3" s="12"/>
    </row>
    <row r="4" spans="1:7" ht="18.75">
      <c r="A4" s="5" t="s">
        <v>37</v>
      </c>
      <c r="B4" s="12"/>
    </row>
    <row r="5" spans="1:7" ht="18.75">
      <c r="A5" s="5"/>
      <c r="B5" s="12"/>
    </row>
    <row r="20" spans="1:1">
      <c r="A20" s="3" t="s">
        <v>193</v>
      </c>
    </row>
    <row r="34" spans="1:1">
      <c r="A34" s="3" t="s">
        <v>281</v>
      </c>
    </row>
    <row r="50" spans="1:1">
      <c r="A50" s="3" t="s">
        <v>282</v>
      </c>
    </row>
    <row r="67" spans="1:1">
      <c r="A67" s="3" t="s">
        <v>283</v>
      </c>
    </row>
    <row r="85" spans="1:1">
      <c r="A85" s="3" t="s">
        <v>284</v>
      </c>
    </row>
    <row r="103" spans="1:2">
      <c r="A103" s="3" t="s">
        <v>285</v>
      </c>
    </row>
    <row r="105" spans="1:2">
      <c r="A105" s="5" t="s">
        <v>0</v>
      </c>
      <c r="B105" s="6"/>
    </row>
    <row r="107" spans="1:2" ht="75">
      <c r="A107" s="3" t="s">
        <v>1</v>
      </c>
      <c r="B107" s="2" t="s">
        <v>2</v>
      </c>
    </row>
    <row r="108" spans="1:2" ht="45">
      <c r="A108" s="4" t="s">
        <v>3</v>
      </c>
      <c r="B108" s="2" t="s">
        <v>226</v>
      </c>
    </row>
    <row r="109" spans="1:2" ht="60">
      <c r="A109" s="4" t="s">
        <v>1</v>
      </c>
      <c r="B109" s="2" t="s">
        <v>5</v>
      </c>
    </row>
    <row r="110" spans="1:2" ht="90">
      <c r="A110" s="4" t="s">
        <v>1</v>
      </c>
      <c r="B110" s="2" t="s">
        <v>6</v>
      </c>
    </row>
    <row r="111" spans="1:2" ht="90">
      <c r="A111" s="4" t="s">
        <v>1</v>
      </c>
      <c r="B111" s="2" t="s">
        <v>74</v>
      </c>
    </row>
    <row r="112" spans="1:2" ht="75">
      <c r="A112" s="4" t="s">
        <v>1</v>
      </c>
      <c r="B112" s="2" t="s">
        <v>7</v>
      </c>
    </row>
    <row r="113" spans="1:2" ht="105" customHeight="1">
      <c r="A113" s="4" t="s">
        <v>1</v>
      </c>
      <c r="B113" s="2" t="s">
        <v>8</v>
      </c>
    </row>
    <row r="115" spans="1:2">
      <c r="A115" s="5" t="s">
        <v>17</v>
      </c>
      <c r="B115" s="6" t="s">
        <v>18</v>
      </c>
    </row>
    <row r="117" spans="1:2">
      <c r="A117" s="3" t="s">
        <v>19</v>
      </c>
      <c r="B117" s="7" t="s">
        <v>205</v>
      </c>
    </row>
    <row r="118" spans="1:2" ht="105">
      <c r="B118" s="8" t="s">
        <v>22</v>
      </c>
    </row>
    <row r="119" spans="1:2">
      <c r="B119" s="9" t="s">
        <v>23</v>
      </c>
    </row>
    <row r="120" spans="1:2" ht="30">
      <c r="B120" s="9" t="s">
        <v>24</v>
      </c>
    </row>
    <row r="121" spans="1:2" ht="45">
      <c r="B121" s="9" t="s">
        <v>25</v>
      </c>
    </row>
    <row r="122" spans="1:2" ht="60">
      <c r="B122" s="9" t="s">
        <v>32</v>
      </c>
    </row>
    <row r="123" spans="1:2" ht="45">
      <c r="B123" s="9" t="s">
        <v>33</v>
      </c>
    </row>
    <row r="124" spans="1:2" ht="75">
      <c r="B124" s="9" t="s">
        <v>34</v>
      </c>
    </row>
    <row r="125" spans="1:2" ht="30">
      <c r="B125" s="9" t="s">
        <v>26</v>
      </c>
    </row>
    <row r="126" spans="1:2" ht="45">
      <c r="B126" s="9" t="s">
        <v>28</v>
      </c>
    </row>
    <row r="127" spans="1:2">
      <c r="B127" s="9" t="s">
        <v>30</v>
      </c>
    </row>
    <row r="128" spans="1:2">
      <c r="B128" s="9" t="s">
        <v>31</v>
      </c>
    </row>
    <row r="130" spans="1:7" ht="30">
      <c r="B130" s="10" t="s">
        <v>35</v>
      </c>
    </row>
    <row r="132" spans="1:7">
      <c r="B132" s="2" t="s">
        <v>36</v>
      </c>
      <c r="C132" s="1">
        <v>1</v>
      </c>
      <c r="E132" s="101">
        <v>0</v>
      </c>
      <c r="G132" s="69">
        <f>C132*E132</f>
        <v>0</v>
      </c>
    </row>
    <row r="133" spans="1:7">
      <c r="E133" s="104"/>
    </row>
    <row r="134" spans="1:7" ht="15.75" thickBot="1">
      <c r="A134" s="73"/>
      <c r="B134" s="74" t="s">
        <v>287</v>
      </c>
      <c r="C134" s="75"/>
      <c r="D134" s="76"/>
      <c r="E134" s="103"/>
      <c r="F134" s="75" t="s">
        <v>41</v>
      </c>
      <c r="G134" s="75">
        <f>SUM(G115:G133)</f>
        <v>0</v>
      </c>
    </row>
    <row r="135" spans="1:7" ht="15.75" thickTop="1">
      <c r="E135" s="104"/>
    </row>
    <row r="136" spans="1:7">
      <c r="A136" s="5" t="s">
        <v>42</v>
      </c>
      <c r="B136" s="6" t="s">
        <v>288</v>
      </c>
      <c r="E136" s="104"/>
    </row>
    <row r="137" spans="1:7">
      <c r="E137" s="104"/>
    </row>
    <row r="138" spans="1:7" ht="30">
      <c r="A138" s="3" t="s">
        <v>19</v>
      </c>
      <c r="B138" s="2" t="s">
        <v>286</v>
      </c>
      <c r="E138" s="104"/>
    </row>
    <row r="139" spans="1:7">
      <c r="E139" s="104"/>
    </row>
    <row r="140" spans="1:7">
      <c r="B140" s="2" t="s">
        <v>45</v>
      </c>
      <c r="C140" s="1">
        <f>4.3*14*5*1.05</f>
        <v>316.05</v>
      </c>
      <c r="E140" s="101">
        <v>0</v>
      </c>
      <c r="G140" s="69">
        <f>C140*E140</f>
        <v>0</v>
      </c>
    </row>
    <row r="141" spans="1:7">
      <c r="E141" s="104"/>
    </row>
    <row r="142" spans="1:7" ht="45">
      <c r="A142" s="3" t="s">
        <v>46</v>
      </c>
      <c r="B142" s="2" t="s">
        <v>60</v>
      </c>
      <c r="E142" s="104"/>
    </row>
    <row r="143" spans="1:7">
      <c r="E143" s="104"/>
    </row>
    <row r="144" spans="1:7">
      <c r="B144" s="2" t="s">
        <v>59</v>
      </c>
      <c r="C144" s="1">
        <v>10</v>
      </c>
      <c r="E144" s="101">
        <v>0</v>
      </c>
      <c r="G144" s="69">
        <f t="shared" ref="G144:G176" si="0">C144*E144</f>
        <v>0</v>
      </c>
    </row>
    <row r="145" spans="1:7">
      <c r="E145" s="104"/>
    </row>
    <row r="146" spans="1:7" ht="30">
      <c r="A146" s="3" t="s">
        <v>50</v>
      </c>
      <c r="B146" s="2" t="s">
        <v>62</v>
      </c>
      <c r="E146" s="104"/>
    </row>
    <row r="147" spans="1:7">
      <c r="E147" s="104"/>
    </row>
    <row r="148" spans="1:7">
      <c r="B148" s="2" t="s">
        <v>63</v>
      </c>
      <c r="C148" s="1">
        <v>1</v>
      </c>
      <c r="E148" s="101">
        <v>0</v>
      </c>
      <c r="G148" s="69">
        <f t="shared" si="0"/>
        <v>0</v>
      </c>
    </row>
    <row r="149" spans="1:7">
      <c r="E149" s="104"/>
    </row>
    <row r="150" spans="1:7" ht="90" customHeight="1">
      <c r="A150" s="3" t="s">
        <v>52</v>
      </c>
      <c r="B150" s="17" t="s">
        <v>65</v>
      </c>
      <c r="E150" s="104"/>
    </row>
    <row r="151" spans="1:7">
      <c r="E151" s="104"/>
    </row>
    <row r="152" spans="1:7">
      <c r="B152" s="2" t="s">
        <v>56</v>
      </c>
      <c r="C152" s="1">
        <f>(5*14+5*4.3)*1.05-0.08</f>
        <v>95.995000000000005</v>
      </c>
      <c r="E152" s="101">
        <v>0</v>
      </c>
      <c r="G152" s="69">
        <f t="shared" si="0"/>
        <v>0</v>
      </c>
    </row>
    <row r="153" spans="1:7">
      <c r="E153" s="104"/>
    </row>
    <row r="154" spans="1:7" ht="105" customHeight="1">
      <c r="A154" s="3" t="s">
        <v>54</v>
      </c>
      <c r="B154" s="2" t="s">
        <v>289</v>
      </c>
      <c r="E154" s="104"/>
    </row>
    <row r="155" spans="1:7">
      <c r="E155" s="104"/>
    </row>
    <row r="156" spans="1:7">
      <c r="B156" s="2" t="s">
        <v>45</v>
      </c>
      <c r="C156" s="1">
        <f>(2*14*4+4.3*14)*5*1.05*0.6-0.43</f>
        <v>542.00000000000011</v>
      </c>
      <c r="E156" s="101">
        <v>0</v>
      </c>
      <c r="G156" s="69">
        <f t="shared" si="0"/>
        <v>0</v>
      </c>
    </row>
    <row r="157" spans="1:7">
      <c r="E157" s="104"/>
    </row>
    <row r="158" spans="1:7" ht="105" customHeight="1">
      <c r="A158" s="3" t="s">
        <v>57</v>
      </c>
      <c r="B158" s="2" t="s">
        <v>71</v>
      </c>
      <c r="E158" s="104"/>
    </row>
    <row r="159" spans="1:7">
      <c r="E159" s="104"/>
    </row>
    <row r="160" spans="1:7">
      <c r="B160" s="2" t="s">
        <v>45</v>
      </c>
      <c r="C160" s="1">
        <f>C156/0.6-0.33</f>
        <v>903.00333333333356</v>
      </c>
      <c r="E160" s="101">
        <v>0</v>
      </c>
      <c r="G160" s="69">
        <f t="shared" si="0"/>
        <v>0</v>
      </c>
    </row>
    <row r="161" spans="1:7">
      <c r="E161" s="104"/>
    </row>
    <row r="162" spans="1:7" ht="75">
      <c r="A162" s="3" t="s">
        <v>58</v>
      </c>
      <c r="B162" s="2" t="s">
        <v>75</v>
      </c>
      <c r="E162" s="104"/>
    </row>
    <row r="163" spans="1:7">
      <c r="E163" s="104"/>
    </row>
    <row r="164" spans="1:7">
      <c r="B164" s="2" t="s">
        <v>45</v>
      </c>
      <c r="C164" s="1">
        <f>C156</f>
        <v>542.00000000000011</v>
      </c>
      <c r="E164" s="101">
        <v>0</v>
      </c>
      <c r="G164" s="69">
        <f t="shared" si="0"/>
        <v>0</v>
      </c>
    </row>
    <row r="165" spans="1:7">
      <c r="E165" s="104"/>
    </row>
    <row r="166" spans="1:7" ht="60">
      <c r="A166" s="3" t="s">
        <v>61</v>
      </c>
      <c r="B166" s="2" t="s">
        <v>83</v>
      </c>
      <c r="E166" s="104"/>
    </row>
    <row r="167" spans="1:7">
      <c r="E167" s="104"/>
    </row>
    <row r="168" spans="1:7">
      <c r="B168" s="2" t="s">
        <v>45</v>
      </c>
      <c r="C168" s="1">
        <f>C160</f>
        <v>903.00333333333356</v>
      </c>
      <c r="E168" s="101">
        <v>0</v>
      </c>
      <c r="G168" s="69">
        <f t="shared" si="0"/>
        <v>0</v>
      </c>
    </row>
    <row r="169" spans="1:7">
      <c r="E169" s="104"/>
    </row>
    <row r="170" spans="1:7" ht="45">
      <c r="A170" s="3" t="s">
        <v>64</v>
      </c>
      <c r="B170" s="2" t="s">
        <v>90</v>
      </c>
      <c r="E170" s="104"/>
    </row>
    <row r="171" spans="1:7">
      <c r="E171" s="104"/>
    </row>
    <row r="172" spans="1:7">
      <c r="B172" s="2" t="s">
        <v>45</v>
      </c>
      <c r="C172" s="1">
        <f>C168</f>
        <v>903.00333333333356</v>
      </c>
      <c r="E172" s="101">
        <v>0</v>
      </c>
      <c r="G172" s="69">
        <f t="shared" si="0"/>
        <v>0</v>
      </c>
    </row>
    <row r="173" spans="1:7">
      <c r="E173" s="104"/>
    </row>
    <row r="174" spans="1:7" ht="45">
      <c r="A174" s="3" t="s">
        <v>66</v>
      </c>
      <c r="B174" s="2" t="s">
        <v>89</v>
      </c>
      <c r="E174" s="104"/>
    </row>
    <row r="175" spans="1:7">
      <c r="E175" s="104"/>
    </row>
    <row r="176" spans="1:7">
      <c r="B176" s="2" t="s">
        <v>45</v>
      </c>
      <c r="C176" s="1">
        <f>2*14*5</f>
        <v>140</v>
      </c>
      <c r="E176" s="101">
        <v>0</v>
      </c>
      <c r="G176" s="69">
        <f t="shared" si="0"/>
        <v>0</v>
      </c>
    </row>
    <row r="177" spans="1:5">
      <c r="E177" s="104"/>
    </row>
    <row r="178" spans="1:5" ht="75">
      <c r="A178" s="3" t="s">
        <v>68</v>
      </c>
      <c r="B178" s="2" t="s">
        <v>290</v>
      </c>
      <c r="E178" s="104"/>
    </row>
    <row r="179" spans="1:5" ht="6" customHeight="1">
      <c r="E179" s="104"/>
    </row>
    <row r="180" spans="1:5">
      <c r="E180" s="104"/>
    </row>
    <row r="181" spans="1:5">
      <c r="E181" s="104"/>
    </row>
    <row r="182" spans="1:5">
      <c r="E182" s="104"/>
    </row>
    <row r="183" spans="1:5">
      <c r="E183" s="104"/>
    </row>
    <row r="184" spans="1:5">
      <c r="E184" s="104"/>
    </row>
    <row r="185" spans="1:5">
      <c r="E185" s="104"/>
    </row>
    <row r="186" spans="1:5">
      <c r="E186" s="104"/>
    </row>
    <row r="187" spans="1:5">
      <c r="E187" s="104"/>
    </row>
    <row r="188" spans="1:5">
      <c r="E188" s="104"/>
    </row>
    <row r="189" spans="1:5">
      <c r="E189" s="104"/>
    </row>
    <row r="190" spans="1:5">
      <c r="E190" s="104"/>
    </row>
    <row r="191" spans="1:5">
      <c r="E191" s="104"/>
    </row>
    <row r="192" spans="1:5">
      <c r="E192" s="104"/>
    </row>
    <row r="193" spans="5:5">
      <c r="E193" s="104"/>
    </row>
    <row r="194" spans="5:5">
      <c r="E194" s="104"/>
    </row>
    <row r="195" spans="5:5">
      <c r="E195" s="104"/>
    </row>
    <row r="196" spans="5:5" ht="8.25" customHeight="1">
      <c r="E196" s="104"/>
    </row>
    <row r="197" spans="5:5">
      <c r="E197" s="104"/>
    </row>
    <row r="198" spans="5:5">
      <c r="E198" s="104"/>
    </row>
    <row r="199" spans="5:5">
      <c r="E199" s="104"/>
    </row>
    <row r="200" spans="5:5">
      <c r="E200" s="104"/>
    </row>
    <row r="201" spans="5:5">
      <c r="E201" s="104"/>
    </row>
    <row r="202" spans="5:5">
      <c r="E202" s="104"/>
    </row>
    <row r="203" spans="5:5">
      <c r="E203" s="104"/>
    </row>
    <row r="204" spans="5:5">
      <c r="E204" s="104"/>
    </row>
    <row r="205" spans="5:5">
      <c r="E205" s="104"/>
    </row>
    <row r="206" spans="5:5">
      <c r="E206" s="104"/>
    </row>
    <row r="207" spans="5:5">
      <c r="E207" s="104"/>
    </row>
    <row r="208" spans="5:5">
      <c r="E208" s="104"/>
    </row>
    <row r="209" spans="1:7">
      <c r="E209" s="104"/>
    </row>
    <row r="210" spans="1:7">
      <c r="E210" s="104"/>
    </row>
    <row r="211" spans="1:7">
      <c r="E211" s="104"/>
    </row>
    <row r="212" spans="1:7">
      <c r="E212" s="104"/>
    </row>
    <row r="213" spans="1:7">
      <c r="B213" s="2" t="s">
        <v>56</v>
      </c>
      <c r="C213" s="1">
        <f>(2*14*2*5+2*4.3*5+3*4.3*5+5*3*5)*1.05-0.63</f>
        <v>484.995</v>
      </c>
      <c r="E213" s="101">
        <v>0</v>
      </c>
      <c r="G213" s="69">
        <f t="shared" ref="G213:G221" si="1">C213*E213</f>
        <v>0</v>
      </c>
    </row>
    <row r="214" spans="1:7">
      <c r="E214" s="104"/>
    </row>
    <row r="215" spans="1:7" ht="60" customHeight="1">
      <c r="A215" s="3" t="s">
        <v>69</v>
      </c>
      <c r="B215" s="2" t="s">
        <v>252</v>
      </c>
      <c r="E215" s="104"/>
    </row>
    <row r="216" spans="1:7">
      <c r="E216" s="104"/>
    </row>
    <row r="217" spans="1:7">
      <c r="B217" s="2" t="s">
        <v>291</v>
      </c>
      <c r="C217" s="1">
        <v>1</v>
      </c>
      <c r="E217" s="101">
        <v>0</v>
      </c>
      <c r="G217" s="69">
        <f t="shared" si="1"/>
        <v>0</v>
      </c>
    </row>
    <row r="218" spans="1:7">
      <c r="E218" s="104"/>
    </row>
    <row r="219" spans="1:7" ht="45">
      <c r="A219" s="3" t="s">
        <v>70</v>
      </c>
      <c r="B219" s="2" t="s">
        <v>96</v>
      </c>
      <c r="E219" s="104"/>
    </row>
    <row r="220" spans="1:7">
      <c r="E220" s="104"/>
    </row>
    <row r="221" spans="1:7">
      <c r="B221" s="2" t="s">
        <v>97</v>
      </c>
      <c r="C221" s="1">
        <f>C152*0.05*0.08+C156*0.03*1.25</f>
        <v>20.708980000000004</v>
      </c>
      <c r="E221" s="101">
        <v>0</v>
      </c>
      <c r="G221" s="69">
        <f t="shared" si="1"/>
        <v>0</v>
      </c>
    </row>
    <row r="222" spans="1:7">
      <c r="E222" s="104"/>
    </row>
    <row r="223" spans="1:7" ht="15.75" thickBot="1">
      <c r="A223" s="79"/>
      <c r="B223" s="74" t="s">
        <v>100</v>
      </c>
      <c r="C223" s="75"/>
      <c r="D223" s="76"/>
      <c r="E223" s="103"/>
      <c r="F223" s="75" t="s">
        <v>41</v>
      </c>
      <c r="G223" s="75">
        <f>SUM(G136:G222)</f>
        <v>0</v>
      </c>
    </row>
    <row r="224" spans="1:7" ht="15.75" thickTop="1">
      <c r="E224" s="104"/>
    </row>
    <row r="225" spans="1:7">
      <c r="A225" s="5" t="s">
        <v>105</v>
      </c>
      <c r="B225" s="6" t="s">
        <v>106</v>
      </c>
      <c r="E225" s="104"/>
    </row>
    <row r="226" spans="1:7">
      <c r="E226" s="104"/>
    </row>
    <row r="227" spans="1:7" ht="105">
      <c r="A227" s="3" t="s">
        <v>19</v>
      </c>
      <c r="B227" s="22" t="s">
        <v>107</v>
      </c>
      <c r="E227" s="104"/>
    </row>
    <row r="228" spans="1:7">
      <c r="E228" s="104"/>
    </row>
    <row r="229" spans="1:7">
      <c r="B229" s="2" t="s">
        <v>63</v>
      </c>
      <c r="C229" s="1">
        <v>1</v>
      </c>
      <c r="E229" s="101">
        <v>0</v>
      </c>
      <c r="G229" s="69">
        <f>C229*E229</f>
        <v>0</v>
      </c>
    </row>
    <row r="230" spans="1:7">
      <c r="E230" s="104"/>
    </row>
    <row r="231" spans="1:7" ht="30">
      <c r="A231" s="3" t="s">
        <v>46</v>
      </c>
      <c r="B231" s="2" t="s">
        <v>292</v>
      </c>
      <c r="E231" s="104"/>
    </row>
    <row r="232" spans="1:7">
      <c r="E232" s="104"/>
    </row>
    <row r="233" spans="1:7">
      <c r="E233" s="104"/>
    </row>
    <row r="234" spans="1:7">
      <c r="E234" s="104"/>
    </row>
    <row r="235" spans="1:7">
      <c r="E235" s="104"/>
    </row>
    <row r="236" spans="1:7">
      <c r="E236" s="104"/>
    </row>
    <row r="237" spans="1:7">
      <c r="E237" s="104"/>
    </row>
    <row r="238" spans="1:7">
      <c r="E238" s="104"/>
    </row>
    <row r="239" spans="1:7">
      <c r="E239" s="104"/>
    </row>
    <row r="240" spans="1:7">
      <c r="E240" s="104"/>
    </row>
    <row r="241" spans="1:7">
      <c r="E241" s="104"/>
    </row>
    <row r="242" spans="1:7">
      <c r="E242" s="104"/>
    </row>
    <row r="243" spans="1:7">
      <c r="E243" s="104"/>
    </row>
    <row r="244" spans="1:7">
      <c r="E244" s="104"/>
    </row>
    <row r="245" spans="1:7">
      <c r="B245" s="2" t="s">
        <v>59</v>
      </c>
      <c r="C245" s="1">
        <v>16</v>
      </c>
      <c r="E245" s="101">
        <v>0</v>
      </c>
      <c r="G245" s="69">
        <f>C245*E245</f>
        <v>0</v>
      </c>
    </row>
    <row r="246" spans="1:7">
      <c r="E246" s="104"/>
    </row>
    <row r="247" spans="1:7" ht="15.75" thickBot="1">
      <c r="A247" s="79"/>
      <c r="B247" s="74" t="s">
        <v>108</v>
      </c>
      <c r="C247" s="75"/>
      <c r="D247" s="76"/>
      <c r="E247" s="103"/>
      <c r="F247" s="75" t="s">
        <v>41</v>
      </c>
      <c r="G247" s="75">
        <f>SUM(G225:G246)</f>
        <v>0</v>
      </c>
    </row>
    <row r="248" spans="1:7" ht="15.75" thickTop="1">
      <c r="E248" s="104"/>
    </row>
    <row r="249" spans="1:7">
      <c r="A249" s="5" t="s">
        <v>109</v>
      </c>
      <c r="B249" s="6" t="s">
        <v>137</v>
      </c>
      <c r="E249" s="104"/>
      <c r="F249" s="34"/>
    </row>
    <row r="250" spans="1:7">
      <c r="E250" s="104"/>
      <c r="F250" s="34"/>
    </row>
    <row r="251" spans="1:7" ht="135">
      <c r="A251" s="3" t="s">
        <v>111</v>
      </c>
      <c r="B251" s="2" t="s">
        <v>140</v>
      </c>
      <c r="E251" s="104"/>
      <c r="F251" s="34"/>
    </row>
    <row r="252" spans="1:7">
      <c r="E252" s="104"/>
      <c r="F252" s="34"/>
    </row>
    <row r="253" spans="1:7" ht="90">
      <c r="A253" s="3" t="s">
        <v>19</v>
      </c>
      <c r="B253" s="17" t="s">
        <v>156</v>
      </c>
      <c r="E253" s="104"/>
      <c r="F253" s="34"/>
    </row>
    <row r="254" spans="1:7">
      <c r="B254" s="21"/>
      <c r="E254" s="104"/>
      <c r="F254" s="34"/>
    </row>
    <row r="255" spans="1:7">
      <c r="B255" s="2" t="s">
        <v>45</v>
      </c>
      <c r="C255" s="1">
        <f>C160</f>
        <v>903.00333333333356</v>
      </c>
      <c r="E255" s="101">
        <v>0</v>
      </c>
      <c r="F255" s="34"/>
      <c r="G255" s="69">
        <f>C255*E255</f>
        <v>0</v>
      </c>
    </row>
    <row r="256" spans="1:7">
      <c r="E256" s="104"/>
      <c r="F256" s="34"/>
    </row>
    <row r="257" spans="1:7" ht="90" customHeight="1">
      <c r="A257" s="3" t="s">
        <v>154</v>
      </c>
      <c r="B257" s="17" t="s">
        <v>293</v>
      </c>
      <c r="E257" s="104"/>
      <c r="F257" s="34"/>
    </row>
    <row r="258" spans="1:7">
      <c r="E258" s="104"/>
      <c r="F258" s="34"/>
    </row>
    <row r="259" spans="1:7">
      <c r="B259" s="2" t="s">
        <v>45</v>
      </c>
      <c r="C259" s="1">
        <f>C255</f>
        <v>903.00333333333356</v>
      </c>
      <c r="E259" s="101">
        <v>0</v>
      </c>
      <c r="F259" s="34"/>
      <c r="G259" s="69">
        <f>C259*E259</f>
        <v>0</v>
      </c>
    </row>
    <row r="260" spans="1:7">
      <c r="E260" s="104"/>
      <c r="F260" s="34"/>
    </row>
    <row r="261" spans="1:7" ht="45">
      <c r="A261" s="3" t="s">
        <v>50</v>
      </c>
      <c r="B261" s="17" t="s">
        <v>158</v>
      </c>
      <c r="E261" s="104"/>
      <c r="F261" s="34"/>
    </row>
    <row r="262" spans="1:7">
      <c r="B262" s="17"/>
      <c r="E262" s="104"/>
      <c r="F262" s="34"/>
    </row>
    <row r="263" spans="1:7">
      <c r="B263" s="17" t="s">
        <v>45</v>
      </c>
      <c r="C263" s="1">
        <v>5</v>
      </c>
      <c r="E263" s="101">
        <v>0</v>
      </c>
      <c r="F263" s="34"/>
      <c r="G263" s="69">
        <f>C263*E263</f>
        <v>0</v>
      </c>
    </row>
    <row r="264" spans="1:7">
      <c r="B264" s="17"/>
      <c r="E264" s="104"/>
      <c r="F264" s="34"/>
    </row>
    <row r="265" spans="1:7" ht="15.75" thickBot="1">
      <c r="A265" s="79"/>
      <c r="B265" s="74" t="s">
        <v>160</v>
      </c>
      <c r="C265" s="75"/>
      <c r="D265" s="76"/>
      <c r="E265" s="103"/>
      <c r="F265" s="86" t="s">
        <v>41</v>
      </c>
      <c r="G265" s="75">
        <f>SUM(G249:G264)</f>
        <v>0</v>
      </c>
    </row>
    <row r="266" spans="1:7" ht="15.75" thickTop="1">
      <c r="F266" s="34"/>
    </row>
    <row r="267" spans="1:7">
      <c r="A267" s="5" t="s">
        <v>125</v>
      </c>
      <c r="B267" s="6" t="s">
        <v>162</v>
      </c>
    </row>
    <row r="269" spans="1:7" ht="105" customHeight="1">
      <c r="A269" s="3">
        <v>1</v>
      </c>
      <c r="B269" s="2" t="s">
        <v>294</v>
      </c>
      <c r="G269" s="71">
        <f>(G134+G223+G247+G265)*0.1</f>
        <v>0</v>
      </c>
    </row>
    <row r="270" spans="1:7" ht="14.25" customHeight="1">
      <c r="G270" s="41"/>
    </row>
    <row r="271" spans="1:7" ht="15.75" thickBot="1">
      <c r="A271" s="79"/>
      <c r="B271" s="74" t="s">
        <v>164</v>
      </c>
      <c r="C271" s="75"/>
      <c r="D271" s="76"/>
      <c r="E271" s="75"/>
      <c r="F271" s="75" t="s">
        <v>41</v>
      </c>
      <c r="G271" s="75">
        <f>SUM(G267:G270)</f>
        <v>0</v>
      </c>
    </row>
    <row r="272" spans="1:7" ht="15.75" thickTop="1">
      <c r="A272" s="42"/>
      <c r="B272" s="43"/>
      <c r="C272" s="44"/>
      <c r="D272" s="45"/>
      <c r="E272" s="44"/>
      <c r="F272" s="44"/>
      <c r="G272" s="44"/>
    </row>
    <row r="274" spans="1:7">
      <c r="A274" s="95"/>
      <c r="B274" s="96" t="s">
        <v>295</v>
      </c>
    </row>
    <row r="276" spans="1:7">
      <c r="A276" s="3" t="s">
        <v>17</v>
      </c>
      <c r="B276" s="2" t="s">
        <v>18</v>
      </c>
      <c r="G276" s="69">
        <f>G134</f>
        <v>0</v>
      </c>
    </row>
    <row r="278" spans="1:7">
      <c r="A278" s="3" t="s">
        <v>42</v>
      </c>
      <c r="B278" s="2" t="s">
        <v>43</v>
      </c>
      <c r="G278" s="69">
        <f>G223</f>
        <v>0</v>
      </c>
    </row>
    <row r="280" spans="1:7">
      <c r="A280" s="3" t="s">
        <v>105</v>
      </c>
      <c r="B280" s="2" t="s">
        <v>106</v>
      </c>
      <c r="G280" s="69">
        <f>G247</f>
        <v>0</v>
      </c>
    </row>
    <row r="282" spans="1:7">
      <c r="A282" s="3" t="s">
        <v>109</v>
      </c>
      <c r="B282" s="2" t="s">
        <v>166</v>
      </c>
      <c r="G282" s="69">
        <f>G265</f>
        <v>0</v>
      </c>
    </row>
    <row r="284" spans="1:7">
      <c r="A284" s="60" t="s">
        <v>161</v>
      </c>
      <c r="B284" s="77" t="s">
        <v>167</v>
      </c>
      <c r="C284" s="77" t="s">
        <v>339</v>
      </c>
      <c r="D284" s="78"/>
      <c r="E284" s="72"/>
      <c r="F284" s="72"/>
      <c r="G284" s="69">
        <f>G271</f>
        <v>0</v>
      </c>
    </row>
    <row r="285" spans="1:7">
      <c r="A285" s="60"/>
      <c r="B285" s="77"/>
      <c r="C285" s="77"/>
      <c r="D285" s="78"/>
      <c r="E285" s="72"/>
      <c r="F285" s="72"/>
      <c r="G285" s="72"/>
    </row>
    <row r="286" spans="1:7" ht="15.75" thickBot="1">
      <c r="A286" s="73"/>
      <c r="B286" s="74" t="s">
        <v>168</v>
      </c>
      <c r="C286" s="88"/>
      <c r="D286" s="89"/>
      <c r="E286" s="88"/>
      <c r="F286" s="88"/>
      <c r="G286" s="75">
        <f>SUM(G276:G284)</f>
        <v>0</v>
      </c>
    </row>
    <row r="287" spans="1:7" ht="15.75" thickTop="1"/>
    <row r="292" spans="2:7">
      <c r="B292" s="17"/>
      <c r="C292" s="31"/>
      <c r="D292" s="26"/>
      <c r="E292" s="26"/>
      <c r="F292" s="33"/>
      <c r="G292" s="32"/>
    </row>
    <row r="293" spans="2:7">
      <c r="B293" s="17"/>
      <c r="C293" s="31"/>
      <c r="D293" s="26"/>
      <c r="E293" s="26"/>
      <c r="F293" s="33"/>
      <c r="G293" s="32"/>
    </row>
    <row r="294" spans="2:7">
      <c r="B294" s="17"/>
      <c r="C294" s="31"/>
      <c r="D294" s="26"/>
      <c r="E294" s="26"/>
      <c r="F294" s="33"/>
      <c r="G294" s="32"/>
    </row>
    <row r="295" spans="2:7">
      <c r="B295" s="17"/>
      <c r="C295" s="31"/>
      <c r="D295" s="26"/>
      <c r="E295" s="26"/>
      <c r="F295" s="33"/>
      <c r="G295" s="32"/>
    </row>
    <row r="296" spans="2:7">
      <c r="B296" s="17"/>
      <c r="C296" s="31"/>
      <c r="D296" s="26"/>
      <c r="E296" s="26"/>
      <c r="F296" s="33"/>
      <c r="G296" s="32"/>
    </row>
    <row r="297" spans="2:7">
      <c r="B297" s="17"/>
      <c r="C297" s="31"/>
      <c r="D297" s="26"/>
      <c r="E297" s="26"/>
      <c r="F297" s="33"/>
      <c r="G297" s="32"/>
    </row>
    <row r="298" spans="2:7">
      <c r="B298" s="17"/>
      <c r="C298" s="31"/>
      <c r="D298" s="26"/>
      <c r="E298" s="26"/>
      <c r="F298" s="33"/>
      <c r="G298" s="32"/>
    </row>
    <row r="299" spans="2:7">
      <c r="B299" s="17"/>
      <c r="C299" s="31"/>
      <c r="D299" s="26"/>
      <c r="E299" s="26"/>
      <c r="F299" s="33"/>
      <c r="G299" s="32"/>
    </row>
    <row r="300" spans="2:7">
      <c r="B300" s="17"/>
      <c r="C300" s="31"/>
      <c r="D300" s="26"/>
      <c r="E300" s="26"/>
      <c r="F300" s="33"/>
      <c r="G300" s="32"/>
    </row>
    <row r="301" spans="2:7">
      <c r="B301" s="17"/>
      <c r="C301" s="31"/>
      <c r="D301" s="26"/>
      <c r="E301" s="26"/>
      <c r="F301" s="33"/>
      <c r="G301" s="32"/>
    </row>
    <row r="302" spans="2:7">
      <c r="B302" s="17"/>
      <c r="C302" s="31"/>
      <c r="D302" s="26"/>
      <c r="E302" s="26"/>
      <c r="F302" s="33"/>
      <c r="G302" s="32"/>
    </row>
    <row r="303" spans="2:7">
      <c r="B303" s="17"/>
      <c r="C303" s="31"/>
      <c r="D303" s="26"/>
      <c r="E303" s="26"/>
      <c r="F303" s="33"/>
      <c r="G303" s="32"/>
    </row>
    <row r="304" spans="2:7">
      <c r="B304" s="17"/>
      <c r="C304" s="31"/>
      <c r="D304" s="26"/>
      <c r="E304" s="26"/>
      <c r="F304" s="33"/>
      <c r="G304" s="32"/>
    </row>
    <row r="305" spans="2:7">
      <c r="B305" s="17"/>
      <c r="C305" s="31"/>
      <c r="D305" s="26"/>
      <c r="E305" s="26"/>
      <c r="F305" s="33"/>
      <c r="G305" s="32"/>
    </row>
    <row r="306" spans="2:7">
      <c r="B306" s="17"/>
      <c r="C306" s="31"/>
      <c r="D306" s="26"/>
      <c r="E306" s="26"/>
      <c r="F306" s="33"/>
      <c r="G306" s="32"/>
    </row>
    <row r="307" spans="2:7">
      <c r="B307" s="17"/>
      <c r="C307" s="31"/>
      <c r="D307" s="26"/>
      <c r="E307" s="26"/>
      <c r="F307" s="33"/>
      <c r="G307" s="32"/>
    </row>
    <row r="308" spans="2:7">
      <c r="B308" s="17"/>
      <c r="C308" s="31"/>
      <c r="D308" s="26"/>
      <c r="E308" s="26"/>
      <c r="F308" s="33"/>
      <c r="G308" s="32"/>
    </row>
    <row r="309" spans="2:7">
      <c r="B309" s="17"/>
      <c r="C309" s="31"/>
      <c r="D309" s="26"/>
      <c r="E309" s="26"/>
      <c r="F309" s="33"/>
      <c r="G309" s="32"/>
    </row>
    <row r="310" spans="2:7">
      <c r="B310" s="17"/>
      <c r="C310" s="31"/>
      <c r="D310" s="26"/>
      <c r="E310" s="26"/>
      <c r="F310" s="33"/>
      <c r="G310" s="32"/>
    </row>
    <row r="311" spans="2:7">
      <c r="B311" s="17"/>
      <c r="C311" s="31"/>
      <c r="D311" s="26"/>
      <c r="E311" s="26"/>
      <c r="F311" s="33"/>
      <c r="G311" s="32"/>
    </row>
    <row r="312" spans="2:7">
      <c r="B312" s="17"/>
      <c r="C312" s="31"/>
      <c r="D312" s="26"/>
      <c r="E312" s="26"/>
      <c r="F312" s="33"/>
      <c r="G312" s="32"/>
    </row>
    <row r="313" spans="2:7">
      <c r="B313" s="17"/>
      <c r="C313" s="31"/>
      <c r="D313" s="26"/>
      <c r="E313" s="26"/>
      <c r="F313" s="33"/>
      <c r="G313" s="32"/>
    </row>
    <row r="314" spans="2:7">
      <c r="B314" s="17"/>
      <c r="C314" s="31"/>
      <c r="D314" s="26"/>
      <c r="E314" s="26"/>
      <c r="F314" s="33"/>
      <c r="G314" s="32"/>
    </row>
    <row r="315" spans="2:7">
      <c r="B315" s="17"/>
      <c r="C315" s="31"/>
      <c r="D315" s="26"/>
      <c r="E315" s="26"/>
      <c r="F315" s="33"/>
      <c r="G315" s="32"/>
    </row>
    <row r="316" spans="2:7">
      <c r="B316" s="17"/>
      <c r="C316" s="31"/>
      <c r="D316" s="26"/>
      <c r="E316" s="26"/>
      <c r="F316" s="33"/>
      <c r="G316" s="32"/>
    </row>
    <row r="317" spans="2:7">
      <c r="B317" s="17"/>
      <c r="C317" s="31"/>
      <c r="D317" s="26"/>
      <c r="E317" s="26"/>
      <c r="F317" s="33"/>
      <c r="G317" s="32"/>
    </row>
    <row r="318" spans="2:7">
      <c r="B318" s="17"/>
      <c r="C318" s="31"/>
      <c r="D318" s="26"/>
      <c r="E318" s="26"/>
      <c r="F318" s="33"/>
      <c r="G318" s="32"/>
    </row>
    <row r="319" spans="2:7">
      <c r="B319" s="17"/>
      <c r="C319" s="31"/>
      <c r="D319" s="26"/>
      <c r="E319" s="26"/>
      <c r="F319" s="33"/>
      <c r="G319" s="32"/>
    </row>
    <row r="320" spans="2:7">
      <c r="B320" s="17"/>
      <c r="C320" s="31"/>
      <c r="D320" s="26"/>
      <c r="E320" s="26"/>
      <c r="F320" s="33"/>
      <c r="G320" s="32"/>
    </row>
    <row r="321" spans="1:7">
      <c r="B321" s="17"/>
      <c r="C321" s="31"/>
      <c r="D321" s="26"/>
      <c r="E321" s="26"/>
      <c r="F321" s="33"/>
      <c r="G321" s="32"/>
    </row>
    <row r="322" spans="1:7">
      <c r="A322" s="23"/>
      <c r="B322" s="17"/>
      <c r="C322" s="36"/>
      <c r="D322" s="37"/>
      <c r="E322" s="37"/>
      <c r="F322" s="38"/>
      <c r="G322" s="39"/>
    </row>
    <row r="323" spans="1:7">
      <c r="A323" s="23"/>
      <c r="B323" s="17"/>
      <c r="C323" s="36"/>
      <c r="D323" s="37"/>
      <c r="E323" s="37"/>
      <c r="F323" s="38"/>
      <c r="G323" s="39"/>
    </row>
    <row r="324" spans="1:7">
      <c r="A324" s="23"/>
      <c r="B324" s="17"/>
      <c r="C324" s="36"/>
      <c r="D324" s="37"/>
      <c r="E324" s="37"/>
      <c r="F324" s="38"/>
      <c r="G324" s="39"/>
    </row>
  </sheetData>
  <sheetProtection algorithmName="SHA-512" hashValue="pZkPsNDjQfgzFxxEwqJfuFleuW7lSwz3PqTbuaBG63Rtq9OGJNoBwHpgweBHSKK8IR7xBetdJZtBjtIGVIHnIg==" saltValue="HGalf66c3o+sD53i/fafVw==" spinCount="100000" sheet="1" objects="1" scenarios="1" selectLockedCells="1"/>
  <mergeCells count="1">
    <mergeCell ref="A2:G2"/>
  </mergeCells>
  <pageMargins left="0.9055118110236221" right="0.51181102362204722" top="0.6692913385826772" bottom="0.55118110236220474" header="0.31496062992125984" footer="0.31496062992125984"/>
  <pageSetup paperSize="9" scale="90"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C8A264-6615-42DC-8152-D34C69E06C13}">
  <sheetPr>
    <tabColor rgb="FF00B0F0"/>
  </sheetPr>
  <dimension ref="B1:I34"/>
  <sheetViews>
    <sheetView showGridLines="0" view="pageBreakPreview" zoomScale="120" zoomScaleNormal="100" zoomScaleSheetLayoutView="120" workbookViewId="0">
      <selection activeCell="D19" sqref="D19"/>
    </sheetView>
  </sheetViews>
  <sheetFormatPr defaultRowHeight="15"/>
  <cols>
    <col min="1" max="1" width="3.42578125" customWidth="1"/>
    <col min="2" max="2" width="4.42578125" customWidth="1"/>
    <col min="3" max="3" width="50.140625" bestFit="1" customWidth="1"/>
    <col min="5" max="5" width="14.28515625" style="65" customWidth="1"/>
    <col min="6" max="6" width="14.140625" customWidth="1"/>
    <col min="7" max="7" width="16.140625" customWidth="1"/>
    <col min="8" max="8" width="10.140625" style="58" customWidth="1"/>
    <col min="9" max="9" width="11.140625" style="59" bestFit="1" customWidth="1"/>
    <col min="10" max="10" width="10" bestFit="1" customWidth="1"/>
  </cols>
  <sheetData>
    <row r="1" spans="2:8" ht="19.5">
      <c r="B1" s="47" t="s">
        <v>342</v>
      </c>
      <c r="C1" s="47"/>
      <c r="D1" s="48"/>
      <c r="E1" s="115" t="s">
        <v>365</v>
      </c>
      <c r="F1" s="48"/>
      <c r="G1" s="48"/>
      <c r="H1" s="57"/>
    </row>
    <row r="2" spans="2:8" ht="18.75">
      <c r="B2" s="47"/>
      <c r="C2" s="47"/>
      <c r="D2" s="48"/>
      <c r="E2" s="64"/>
      <c r="F2" s="48"/>
      <c r="G2" s="48"/>
      <c r="H2" s="57"/>
    </row>
    <row r="3" spans="2:8" ht="18.75">
      <c r="B3" s="47"/>
      <c r="C3" s="47"/>
      <c r="D3" s="48"/>
      <c r="E3" s="64"/>
      <c r="F3" s="48"/>
      <c r="G3" s="48"/>
      <c r="H3" s="57"/>
    </row>
    <row r="4" spans="2:8" ht="18.75">
      <c r="B4" s="47"/>
      <c r="C4" s="47"/>
      <c r="D4" s="48"/>
      <c r="E4" s="64"/>
      <c r="F4" s="48"/>
      <c r="G4" s="48"/>
      <c r="H4" s="57"/>
    </row>
    <row r="5" spans="2:8" ht="18.75">
      <c r="B5" s="47"/>
      <c r="C5" s="47"/>
      <c r="D5" s="48"/>
      <c r="E5" s="64"/>
      <c r="F5" s="48"/>
      <c r="G5" s="48"/>
      <c r="H5" s="57"/>
    </row>
    <row r="6" spans="2:8" ht="18.75">
      <c r="B6" s="47"/>
      <c r="C6" s="47"/>
      <c r="D6" s="48"/>
      <c r="E6" s="64"/>
      <c r="F6" s="48"/>
      <c r="G6" s="48"/>
      <c r="H6" s="57"/>
    </row>
    <row r="7" spans="2:8" ht="18.75">
      <c r="B7" s="47"/>
      <c r="C7" s="47"/>
      <c r="D7" s="48"/>
      <c r="E7" s="64"/>
      <c r="F7" s="48"/>
      <c r="G7" s="48"/>
      <c r="H7" s="57"/>
    </row>
    <row r="8" spans="2:8" ht="18.75">
      <c r="B8" s="47"/>
      <c r="C8" s="47"/>
      <c r="D8" s="48"/>
      <c r="E8" s="64"/>
      <c r="F8" s="48"/>
      <c r="G8" s="48"/>
      <c r="H8" s="57"/>
    </row>
    <row r="9" spans="2:8" ht="18.75">
      <c r="B9" s="47"/>
      <c r="C9" s="47"/>
      <c r="D9" s="48"/>
      <c r="E9" s="64"/>
      <c r="F9" s="48"/>
      <c r="G9" s="48"/>
      <c r="H9" s="57"/>
    </row>
    <row r="10" spans="2:8" ht="18.75">
      <c r="B10" s="47"/>
      <c r="C10" s="47"/>
      <c r="D10" s="48"/>
      <c r="E10" s="64"/>
      <c r="F10" s="48"/>
      <c r="G10" s="48"/>
      <c r="H10" s="57"/>
    </row>
    <row r="11" spans="2:8" ht="18.75">
      <c r="B11" s="47"/>
      <c r="C11" s="47"/>
      <c r="D11" s="48"/>
      <c r="E11" s="64"/>
      <c r="F11" s="48"/>
      <c r="G11" s="48"/>
      <c r="H11" s="57"/>
    </row>
    <row r="12" spans="2:8" ht="18.75">
      <c r="B12" s="47"/>
      <c r="C12" s="47"/>
      <c r="D12" s="48"/>
      <c r="E12" s="64"/>
      <c r="F12" s="48"/>
      <c r="G12" s="48"/>
      <c r="H12" s="57"/>
    </row>
    <row r="13" spans="2:8" ht="18.75">
      <c r="B13" s="47"/>
      <c r="C13" s="47"/>
      <c r="D13" s="48"/>
      <c r="E13" s="64"/>
      <c r="F13" s="48"/>
      <c r="G13" s="48"/>
      <c r="H13" s="57"/>
    </row>
    <row r="14" spans="2:8" ht="18.75">
      <c r="B14" s="47"/>
      <c r="C14" s="47"/>
      <c r="D14" s="48"/>
      <c r="E14" s="64"/>
      <c r="F14" s="48"/>
      <c r="G14" s="48"/>
      <c r="H14" s="57"/>
    </row>
    <row r="15" spans="2:8" ht="18.75">
      <c r="B15" s="47"/>
      <c r="C15" s="47"/>
      <c r="D15" s="48"/>
      <c r="E15" s="64"/>
      <c r="F15" s="48"/>
      <c r="G15" s="48"/>
      <c r="H15" s="57"/>
    </row>
    <row r="16" spans="2:8" ht="18.75">
      <c r="B16" s="47"/>
      <c r="C16" s="47"/>
      <c r="D16" s="48"/>
      <c r="E16" s="64"/>
      <c r="F16" s="48"/>
      <c r="G16" s="48"/>
      <c r="H16" s="57"/>
    </row>
    <row r="17" spans="2:8" ht="18.75">
      <c r="B17" s="47"/>
      <c r="C17" s="47"/>
      <c r="D17" s="48"/>
      <c r="E17" s="64"/>
      <c r="F17" s="48"/>
      <c r="G17" s="48"/>
      <c r="H17" s="57"/>
    </row>
    <row r="18" spans="2:8" ht="18.75">
      <c r="B18" s="47"/>
      <c r="C18" s="47"/>
      <c r="D18" s="48"/>
      <c r="E18" s="64"/>
      <c r="F18" s="48"/>
      <c r="G18" s="48"/>
      <c r="H18" s="57"/>
    </row>
    <row r="19" spans="2:8" ht="18.75">
      <c r="B19" s="47" t="s">
        <v>344</v>
      </c>
    </row>
    <row r="20" spans="2:8">
      <c r="E20" s="65" t="s">
        <v>339</v>
      </c>
    </row>
    <row r="22" spans="2:8">
      <c r="B22" t="s">
        <v>19</v>
      </c>
      <c r="C22" t="str">
        <f>'Poljanski nasip 12-dvoriščna'!A1</f>
        <v>Sanacija fasade Poljanski nasip 12 - dvoriščna fasada</v>
      </c>
      <c r="E22" s="66">
        <f>'Poljanski nasip 12-dvoriščna'!G410</f>
        <v>0</v>
      </c>
    </row>
    <row r="24" spans="2:8">
      <c r="B24" t="s">
        <v>46</v>
      </c>
      <c r="C24" t="str">
        <f>'Poljanski nasip 14-dvoriščna '!A1</f>
        <v>Sanacija fasade Poljanski nasip 14 - dvoriščna fasada</v>
      </c>
      <c r="E24" s="66">
        <f>'Poljanski nasip 14-dvoriščna '!G406</f>
        <v>0</v>
      </c>
    </row>
    <row r="26" spans="2:8">
      <c r="B26" t="s">
        <v>50</v>
      </c>
      <c r="C26" t="str">
        <f>'Gestrinova 2,4,6,8-dvoriščna '!A1</f>
        <v xml:space="preserve">Sanacija fasade Gestrinova 2,4,6 in 8 - dvoriščna stran </v>
      </c>
      <c r="E26" s="66">
        <f>'Gestrinova 2,4,6,8-dvoriščna '!G381</f>
        <v>0</v>
      </c>
    </row>
    <row r="28" spans="2:8">
      <c r="B28" t="s">
        <v>52</v>
      </c>
      <c r="C28" t="str">
        <f>'Gestrinova 3-dvoriščna stran'!A1</f>
        <v xml:space="preserve">Sanacija fasade Gestrinova 3 - dvoriščna stran </v>
      </c>
      <c r="E28" s="66">
        <f>'Gestrinova 3-dvoriščna stran'!G348</f>
        <v>0</v>
      </c>
    </row>
    <row r="30" spans="2:8">
      <c r="B30" t="s">
        <v>54</v>
      </c>
      <c r="C30" t="str">
        <f>'Poljanska cesta 15-ulična stran'!A1</f>
        <v xml:space="preserve">Sanacija fasade Poljanska cesta 15 - cestna in atrijska stran </v>
      </c>
      <c r="E30" s="66">
        <f>'Poljanska cesta 15-ulična stran'!G367</f>
        <v>0</v>
      </c>
    </row>
    <row r="31" spans="2:8">
      <c r="B31" s="61"/>
      <c r="C31" s="61"/>
      <c r="D31" s="61"/>
      <c r="E31" s="66"/>
    </row>
    <row r="33" spans="2:9" s="19" customFormat="1" ht="15.75" thickBot="1">
      <c r="B33" s="67"/>
      <c r="C33" s="67" t="s">
        <v>347</v>
      </c>
      <c r="D33" s="67"/>
      <c r="E33" s="68">
        <f>SUM(E19:E31)</f>
        <v>0</v>
      </c>
      <c r="H33" s="62"/>
      <c r="I33" s="63"/>
    </row>
    <row r="34" spans="2:9" ht="15.75" thickTop="1"/>
  </sheetData>
  <sheetProtection algorithmName="SHA-512" hashValue="wnwWbrp6DR9lfRbUz/cEuPfwLvY7h8vfakEJL9sMPphNGqXu6Jjzq7tpnY9TtMQtJRntqzc/V9WCSGUVtTIMfg==" saltValue="yMclvSh7jIt7fQRXzSfRVQ==" spinCount="100000" sheet="1" objects="1" scenarios="1"/>
  <pageMargins left="0.9055118110236221" right="0.51181102362204722" top="0.6692913385826772" bottom="0.55118110236220474" header="0.31496062992125984" footer="0.31496062992125984"/>
  <pageSetup paperSize="9" scale="90" orientation="portrait"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7C70C0-43F7-4C4C-935D-2B476CEA31BB}">
  <sheetPr>
    <tabColor rgb="FF00B0F0"/>
  </sheetPr>
  <dimension ref="A1:G411"/>
  <sheetViews>
    <sheetView showGridLines="0" view="pageBreakPreview" zoomScaleNormal="100" zoomScaleSheetLayoutView="100" workbookViewId="0">
      <selection activeCell="E383" sqref="E59:E383"/>
    </sheetView>
  </sheetViews>
  <sheetFormatPr defaultRowHeight="15"/>
  <cols>
    <col min="1" max="1" width="10.5703125" style="3" customWidth="1"/>
    <col min="2" max="2" width="44" style="2" customWidth="1"/>
    <col min="3" max="3" width="10.85546875" style="1" customWidth="1"/>
    <col min="4" max="4" width="3.5703125" style="28" customWidth="1"/>
    <col min="5" max="5" width="10.140625" style="1" bestFit="1" customWidth="1"/>
    <col min="6" max="6" width="4.85546875" style="1" customWidth="1"/>
    <col min="7" max="7" width="11.42578125" style="1" customWidth="1"/>
  </cols>
  <sheetData>
    <row r="1" spans="1:7" s="50" customFormat="1" ht="19.5">
      <c r="A1" s="47" t="s">
        <v>360</v>
      </c>
      <c r="B1" s="47"/>
      <c r="C1" s="48"/>
      <c r="D1" s="49"/>
      <c r="E1" s="48"/>
      <c r="F1" s="48"/>
      <c r="G1" s="114" t="s">
        <v>365</v>
      </c>
    </row>
    <row r="2" spans="1:7" ht="15.75" customHeight="1">
      <c r="A2" s="118" t="s">
        <v>366</v>
      </c>
      <c r="B2" s="118"/>
      <c r="C2" s="118"/>
      <c r="D2" s="118"/>
      <c r="E2" s="118"/>
      <c r="F2" s="118"/>
      <c r="G2" s="118"/>
    </row>
    <row r="3" spans="1:7" ht="18.75">
      <c r="A3" s="11"/>
      <c r="B3" s="12"/>
    </row>
    <row r="4" spans="1:7" ht="18.75">
      <c r="A4" s="5" t="s">
        <v>37</v>
      </c>
      <c r="B4" s="12"/>
    </row>
    <row r="5" spans="1:7" ht="18.75">
      <c r="A5" s="5"/>
      <c r="B5" s="12"/>
    </row>
    <row r="20" spans="1:2">
      <c r="A20" s="3" t="s">
        <v>174</v>
      </c>
    </row>
    <row r="22" spans="1:2">
      <c r="A22" s="5" t="s">
        <v>0</v>
      </c>
      <c r="B22" s="6"/>
    </row>
    <row r="24" spans="1:2" ht="75">
      <c r="A24" s="3" t="s">
        <v>1</v>
      </c>
      <c r="B24" s="2" t="s">
        <v>2</v>
      </c>
    </row>
    <row r="25" spans="1:2" ht="45">
      <c r="A25" s="4" t="s">
        <v>3</v>
      </c>
      <c r="B25" s="2" t="s">
        <v>176</v>
      </c>
    </row>
    <row r="26" spans="1:2" ht="60">
      <c r="A26" s="4" t="s">
        <v>1</v>
      </c>
      <c r="B26" s="2" t="s">
        <v>5</v>
      </c>
    </row>
    <row r="27" spans="1:2" ht="90">
      <c r="A27" s="4" t="s">
        <v>1</v>
      </c>
      <c r="B27" s="2" t="s">
        <v>6</v>
      </c>
    </row>
    <row r="28" spans="1:2" ht="90">
      <c r="A28" s="4" t="s">
        <v>1</v>
      </c>
      <c r="B28" s="2" t="s">
        <v>74</v>
      </c>
    </row>
    <row r="29" spans="1:2" ht="75">
      <c r="A29" s="4" t="s">
        <v>1</v>
      </c>
      <c r="B29" s="2" t="s">
        <v>7</v>
      </c>
    </row>
    <row r="30" spans="1:2" ht="120">
      <c r="A30" s="4" t="s">
        <v>1</v>
      </c>
      <c r="B30" s="2" t="s">
        <v>8</v>
      </c>
    </row>
    <row r="31" spans="1:2" ht="75">
      <c r="A31" s="4" t="s">
        <v>1</v>
      </c>
      <c r="B31" s="2" t="s">
        <v>9</v>
      </c>
    </row>
    <row r="32" spans="1:2" ht="45">
      <c r="A32" s="4" t="s">
        <v>1</v>
      </c>
      <c r="B32" s="2" t="s">
        <v>10</v>
      </c>
    </row>
    <row r="33" spans="1:2" ht="45">
      <c r="A33" s="4" t="s">
        <v>1</v>
      </c>
      <c r="B33" s="2" t="s">
        <v>11</v>
      </c>
    </row>
    <row r="34" spans="1:2" ht="75">
      <c r="A34" s="4" t="s">
        <v>1</v>
      </c>
      <c r="B34" s="2" t="s">
        <v>12</v>
      </c>
    </row>
    <row r="35" spans="1:2" ht="75">
      <c r="A35" s="4" t="s">
        <v>1</v>
      </c>
      <c r="B35" s="2" t="s">
        <v>13</v>
      </c>
    </row>
    <row r="36" spans="1:2" ht="30">
      <c r="A36" s="4" t="s">
        <v>1</v>
      </c>
      <c r="B36" s="2" t="s">
        <v>14</v>
      </c>
    </row>
    <row r="37" spans="1:2" ht="60">
      <c r="A37" s="4" t="s">
        <v>1</v>
      </c>
      <c r="B37" s="2" t="s">
        <v>15</v>
      </c>
    </row>
    <row r="38" spans="1:2" ht="105">
      <c r="A38" s="4" t="s">
        <v>1</v>
      </c>
      <c r="B38" s="2" t="s">
        <v>16</v>
      </c>
    </row>
    <row r="40" spans="1:2">
      <c r="A40" s="5" t="s">
        <v>17</v>
      </c>
      <c r="B40" s="6" t="s">
        <v>18</v>
      </c>
    </row>
    <row r="42" spans="1:2" ht="45">
      <c r="A42" s="3" t="s">
        <v>19</v>
      </c>
      <c r="B42" s="7" t="s">
        <v>20</v>
      </c>
    </row>
    <row r="43" spans="1:2" ht="60">
      <c r="B43" s="8" t="s">
        <v>177</v>
      </c>
    </row>
    <row r="44" spans="1:2">
      <c r="B44" s="9" t="s">
        <v>23</v>
      </c>
    </row>
    <row r="45" spans="1:2" ht="30">
      <c r="B45" s="9" t="s">
        <v>178</v>
      </c>
    </row>
    <row r="46" spans="1:2" ht="45">
      <c r="B46" s="9" t="s">
        <v>25</v>
      </c>
    </row>
    <row r="47" spans="1:2" ht="60">
      <c r="B47" s="9" t="s">
        <v>32</v>
      </c>
    </row>
    <row r="48" spans="1:2" ht="45">
      <c r="B48" s="9" t="s">
        <v>33</v>
      </c>
    </row>
    <row r="49" spans="1:7" ht="75">
      <c r="B49" s="9" t="s">
        <v>34</v>
      </c>
    </row>
    <row r="50" spans="1:7" ht="30">
      <c r="B50" s="9" t="s">
        <v>26</v>
      </c>
    </row>
    <row r="51" spans="1:7" ht="30">
      <c r="B51" s="9" t="s">
        <v>27</v>
      </c>
    </row>
    <row r="52" spans="1:7" ht="45">
      <c r="B52" s="9" t="s">
        <v>28</v>
      </c>
    </row>
    <row r="53" spans="1:7" ht="60">
      <c r="B53" s="9" t="s">
        <v>29</v>
      </c>
    </row>
    <row r="54" spans="1:7">
      <c r="B54" s="9" t="s">
        <v>30</v>
      </c>
    </row>
    <row r="55" spans="1:7">
      <c r="B55" s="9" t="s">
        <v>31</v>
      </c>
    </row>
    <row r="57" spans="1:7" ht="30">
      <c r="B57" s="10" t="s">
        <v>35</v>
      </c>
    </row>
    <row r="59" spans="1:7">
      <c r="B59" s="2" t="s">
        <v>36</v>
      </c>
      <c r="C59" s="1">
        <v>1</v>
      </c>
      <c r="E59" s="101">
        <v>0</v>
      </c>
      <c r="G59" s="69">
        <f>C59*E59</f>
        <v>0</v>
      </c>
    </row>
    <row r="60" spans="1:7">
      <c r="E60" s="104"/>
    </row>
    <row r="61" spans="1:7" ht="15.75" thickBot="1">
      <c r="A61" s="73"/>
      <c r="B61" s="74" t="s">
        <v>40</v>
      </c>
      <c r="C61" s="75"/>
      <c r="D61" s="76"/>
      <c r="E61" s="103"/>
      <c r="F61" s="75" t="s">
        <v>41</v>
      </c>
      <c r="G61" s="75">
        <f>SUM(G40:G60)</f>
        <v>0</v>
      </c>
    </row>
    <row r="62" spans="1:7" ht="15.75" thickTop="1">
      <c r="E62" s="104"/>
    </row>
    <row r="63" spans="1:7">
      <c r="A63" s="5" t="s">
        <v>42</v>
      </c>
      <c r="B63" s="6" t="s">
        <v>43</v>
      </c>
      <c r="E63" s="104"/>
    </row>
    <row r="64" spans="1:7">
      <c r="E64" s="104"/>
    </row>
    <row r="65" spans="1:7" ht="45">
      <c r="A65" s="3" t="s">
        <v>19</v>
      </c>
      <c r="B65" s="2" t="s">
        <v>48</v>
      </c>
      <c r="E65" s="104"/>
    </row>
    <row r="66" spans="1:7">
      <c r="E66" s="104"/>
    </row>
    <row r="67" spans="1:7">
      <c r="B67" s="2" t="s">
        <v>45</v>
      </c>
      <c r="C67" s="1">
        <f>(23.4)*16.5*1.05-23.4*1.3+0.01</f>
        <v>374.99499999999995</v>
      </c>
      <c r="E67" s="101">
        <v>0</v>
      </c>
      <c r="G67" s="69">
        <f>C67*E67</f>
        <v>0</v>
      </c>
    </row>
    <row r="68" spans="1:7">
      <c r="E68" s="104"/>
    </row>
    <row r="69" spans="1:7" ht="30">
      <c r="A69" s="3" t="s">
        <v>46</v>
      </c>
      <c r="B69" s="2" t="s">
        <v>49</v>
      </c>
      <c r="E69" s="104"/>
    </row>
    <row r="70" spans="1:7">
      <c r="E70" s="104"/>
    </row>
    <row r="71" spans="1:7">
      <c r="B71" s="2" t="s">
        <v>36</v>
      </c>
      <c r="C71" s="1">
        <v>1</v>
      </c>
      <c r="E71" s="101">
        <v>0</v>
      </c>
      <c r="G71" s="69">
        <f t="shared" ref="G71:G130" si="0">C71*E71</f>
        <v>0</v>
      </c>
    </row>
    <row r="72" spans="1:7">
      <c r="E72" s="104"/>
    </row>
    <row r="73" spans="1:7" ht="30">
      <c r="A73" s="3" t="s">
        <v>50</v>
      </c>
      <c r="B73" s="2" t="s">
        <v>51</v>
      </c>
      <c r="E73" s="104"/>
    </row>
    <row r="74" spans="1:7">
      <c r="E74" s="104"/>
    </row>
    <row r="75" spans="1:7">
      <c r="B75" s="2" t="s">
        <v>36</v>
      </c>
      <c r="C75" s="1">
        <v>1</v>
      </c>
      <c r="E75" s="101">
        <v>0</v>
      </c>
      <c r="G75" s="69">
        <f t="shared" si="0"/>
        <v>0</v>
      </c>
    </row>
    <row r="76" spans="1:7">
      <c r="E76" s="104"/>
    </row>
    <row r="77" spans="1:7" ht="30">
      <c r="A77" s="3" t="s">
        <v>52</v>
      </c>
      <c r="B77" s="2" t="s">
        <v>53</v>
      </c>
      <c r="E77" s="104"/>
    </row>
    <row r="78" spans="1:7">
      <c r="E78" s="104"/>
    </row>
    <row r="79" spans="1:7">
      <c r="B79" s="2" t="s">
        <v>36</v>
      </c>
      <c r="C79" s="1">
        <v>1</v>
      </c>
      <c r="E79" s="101">
        <v>0</v>
      </c>
      <c r="G79" s="69">
        <f t="shared" si="0"/>
        <v>0</v>
      </c>
    </row>
    <row r="80" spans="1:7">
      <c r="E80" s="104"/>
    </row>
    <row r="81" spans="1:7" ht="30">
      <c r="A81" s="3" t="s">
        <v>54</v>
      </c>
      <c r="B81" s="2" t="s">
        <v>55</v>
      </c>
      <c r="E81" s="104"/>
    </row>
    <row r="82" spans="1:7">
      <c r="E82" s="104"/>
    </row>
    <row r="83" spans="1:7">
      <c r="B83" s="2" t="s">
        <v>56</v>
      </c>
      <c r="C83" s="1">
        <f>(23.4)*1.05+0.43</f>
        <v>25</v>
      </c>
      <c r="E83" s="101">
        <v>0</v>
      </c>
      <c r="G83" s="69">
        <f t="shared" si="0"/>
        <v>0</v>
      </c>
    </row>
    <row r="84" spans="1:7">
      <c r="E84" s="104"/>
    </row>
    <row r="85" spans="1:7" ht="60">
      <c r="A85" s="3" t="s">
        <v>57</v>
      </c>
      <c r="B85" s="10" t="s">
        <v>44</v>
      </c>
      <c r="E85" s="104"/>
    </row>
    <row r="86" spans="1:7">
      <c r="E86" s="104"/>
    </row>
    <row r="87" spans="1:7">
      <c r="B87" s="2" t="s">
        <v>45</v>
      </c>
      <c r="C87" s="1">
        <f>(15*1.7*1.7+16*1.1*1.7)*1.05+0.07</f>
        <v>77.003500000000003</v>
      </c>
      <c r="E87" s="101">
        <v>0</v>
      </c>
      <c r="G87" s="69">
        <f t="shared" si="0"/>
        <v>0</v>
      </c>
    </row>
    <row r="88" spans="1:7">
      <c r="E88" s="104"/>
    </row>
    <row r="89" spans="1:7" ht="45">
      <c r="A89" s="3" t="s">
        <v>58</v>
      </c>
      <c r="B89" s="2" t="s">
        <v>60</v>
      </c>
      <c r="E89" s="104"/>
    </row>
    <row r="90" spans="1:7">
      <c r="E90" s="104"/>
    </row>
    <row r="91" spans="1:7">
      <c r="B91" s="2" t="s">
        <v>59</v>
      </c>
      <c r="C91" s="1">
        <v>1</v>
      </c>
      <c r="E91" s="101">
        <v>0</v>
      </c>
      <c r="G91" s="69">
        <f t="shared" si="0"/>
        <v>0</v>
      </c>
    </row>
    <row r="92" spans="1:7">
      <c r="E92" s="104"/>
    </row>
    <row r="93" spans="1:7" ht="30">
      <c r="A93" s="3" t="s">
        <v>61</v>
      </c>
      <c r="B93" s="2" t="s">
        <v>62</v>
      </c>
      <c r="E93" s="104"/>
    </row>
    <row r="94" spans="1:7">
      <c r="E94" s="104"/>
    </row>
    <row r="95" spans="1:7">
      <c r="B95" s="2" t="s">
        <v>63</v>
      </c>
      <c r="C95" s="1">
        <v>1</v>
      </c>
      <c r="E95" s="101">
        <v>0</v>
      </c>
      <c r="G95" s="69">
        <f t="shared" si="0"/>
        <v>0</v>
      </c>
    </row>
    <row r="96" spans="1:7">
      <c r="E96" s="104"/>
    </row>
    <row r="97" spans="1:7" ht="90.75" customHeight="1">
      <c r="A97" s="3" t="s">
        <v>64</v>
      </c>
      <c r="B97" s="17" t="s">
        <v>65</v>
      </c>
      <c r="E97" s="104"/>
    </row>
    <row r="98" spans="1:7">
      <c r="E98" s="104"/>
    </row>
    <row r="99" spans="1:7">
      <c r="B99" s="2" t="s">
        <v>56</v>
      </c>
      <c r="C99" s="1">
        <f>(23.4)*1.05+0.43</f>
        <v>25</v>
      </c>
      <c r="E99" s="101">
        <v>0</v>
      </c>
      <c r="G99" s="69">
        <f t="shared" si="0"/>
        <v>0</v>
      </c>
    </row>
    <row r="100" spans="1:7" ht="75">
      <c r="A100" s="3" t="s">
        <v>66</v>
      </c>
      <c r="B100" s="2" t="s">
        <v>67</v>
      </c>
      <c r="E100" s="104"/>
    </row>
    <row r="101" spans="1:7">
      <c r="E101" s="104"/>
    </row>
    <row r="102" spans="1:7">
      <c r="B102" s="2" t="s">
        <v>59</v>
      </c>
      <c r="C102" s="1">
        <f>(((23.4)/0.8)*4)*1.05+0.15</f>
        <v>123</v>
      </c>
      <c r="E102" s="101">
        <v>0</v>
      </c>
      <c r="G102" s="69">
        <f t="shared" si="0"/>
        <v>0</v>
      </c>
    </row>
    <row r="103" spans="1:7">
      <c r="E103" s="104"/>
    </row>
    <row r="104" spans="1:7" ht="30" customHeight="1">
      <c r="A104" s="3" t="s">
        <v>68</v>
      </c>
      <c r="B104" s="2" t="s">
        <v>47</v>
      </c>
      <c r="E104" s="104"/>
    </row>
    <row r="105" spans="1:7">
      <c r="E105" s="104"/>
    </row>
    <row r="106" spans="1:7">
      <c r="B106" s="2" t="s">
        <v>45</v>
      </c>
      <c r="C106" s="1">
        <f>(23.4*15.2+18)*1.05-0.36</f>
        <v>392.00399999999996</v>
      </c>
      <c r="E106" s="101">
        <v>0</v>
      </c>
      <c r="G106" s="69">
        <f t="shared" si="0"/>
        <v>0</v>
      </c>
    </row>
    <row r="107" spans="1:7">
      <c r="E107" s="104"/>
    </row>
    <row r="108" spans="1:7" ht="105">
      <c r="A108" s="3" t="s">
        <v>69</v>
      </c>
      <c r="B108" s="2" t="s">
        <v>72</v>
      </c>
      <c r="E108" s="104"/>
    </row>
    <row r="109" spans="1:7">
      <c r="E109" s="104"/>
    </row>
    <row r="110" spans="1:7">
      <c r="B110" s="2" t="s">
        <v>45</v>
      </c>
      <c r="C110" s="1">
        <f>C106*0.6</f>
        <v>235.20239999999995</v>
      </c>
      <c r="E110" s="101">
        <v>0</v>
      </c>
      <c r="G110" s="69">
        <f t="shared" si="0"/>
        <v>0</v>
      </c>
    </row>
    <row r="111" spans="1:7">
      <c r="E111" s="104"/>
    </row>
    <row r="112" spans="1:7" ht="105.75" customHeight="1">
      <c r="A112" s="3" t="s">
        <v>70</v>
      </c>
      <c r="B112" s="2" t="s">
        <v>71</v>
      </c>
      <c r="E112" s="104"/>
    </row>
    <row r="113" spans="1:7">
      <c r="E113" s="104"/>
    </row>
    <row r="114" spans="1:7">
      <c r="B114" s="2" t="s">
        <v>45</v>
      </c>
      <c r="C114" s="1">
        <f>C106</f>
        <v>392.00399999999996</v>
      </c>
      <c r="E114" s="101">
        <v>0</v>
      </c>
      <c r="G114" s="69">
        <f t="shared" si="0"/>
        <v>0</v>
      </c>
    </row>
    <row r="115" spans="1:7">
      <c r="E115" s="104"/>
    </row>
    <row r="116" spans="1:7" ht="75">
      <c r="A116" s="3" t="s">
        <v>73</v>
      </c>
      <c r="B116" s="2" t="s">
        <v>75</v>
      </c>
      <c r="E116" s="104"/>
    </row>
    <row r="117" spans="1:7">
      <c r="E117" s="104"/>
    </row>
    <row r="118" spans="1:7">
      <c r="B118" s="2" t="s">
        <v>45</v>
      </c>
      <c r="C118" s="1">
        <f>C110</f>
        <v>235.20239999999995</v>
      </c>
      <c r="E118" s="101">
        <v>0</v>
      </c>
      <c r="G118" s="69">
        <f t="shared" si="0"/>
        <v>0</v>
      </c>
    </row>
    <row r="119" spans="1:7">
      <c r="E119" s="104"/>
    </row>
    <row r="120" spans="1:7" ht="60">
      <c r="A120" s="3" t="s">
        <v>76</v>
      </c>
      <c r="B120" s="2" t="s">
        <v>83</v>
      </c>
      <c r="E120" s="104"/>
    </row>
    <row r="121" spans="1:7">
      <c r="E121" s="104"/>
    </row>
    <row r="122" spans="1:7">
      <c r="B122" s="2" t="s">
        <v>45</v>
      </c>
      <c r="C122" s="1">
        <f>C114</f>
        <v>392.00399999999996</v>
      </c>
      <c r="E122" s="101">
        <v>0</v>
      </c>
      <c r="G122" s="69">
        <f t="shared" si="0"/>
        <v>0</v>
      </c>
    </row>
    <row r="123" spans="1:7">
      <c r="E123" s="104"/>
    </row>
    <row r="124" spans="1:7" ht="45">
      <c r="A124" s="3" t="s">
        <v>77</v>
      </c>
      <c r="B124" s="2" t="s">
        <v>90</v>
      </c>
      <c r="E124" s="104"/>
    </row>
    <row r="125" spans="1:7">
      <c r="E125" s="104"/>
    </row>
    <row r="126" spans="1:7">
      <c r="B126" s="2" t="s">
        <v>45</v>
      </c>
      <c r="C126" s="1">
        <f>C114</f>
        <v>392.00399999999996</v>
      </c>
      <c r="E126" s="101">
        <v>0</v>
      </c>
      <c r="G126" s="69">
        <f t="shared" si="0"/>
        <v>0</v>
      </c>
    </row>
    <row r="127" spans="1:7">
      <c r="E127" s="104"/>
    </row>
    <row r="128" spans="1:7" ht="45">
      <c r="A128" s="3" t="s">
        <v>78</v>
      </c>
      <c r="B128" s="2" t="s">
        <v>89</v>
      </c>
      <c r="E128" s="104"/>
    </row>
    <row r="129" spans="1:7">
      <c r="E129" s="104"/>
    </row>
    <row r="130" spans="1:7">
      <c r="B130" s="2" t="s">
        <v>45</v>
      </c>
      <c r="C130" s="1">
        <f>23.4*1.05+0.43</f>
        <v>25</v>
      </c>
      <c r="E130" s="101">
        <v>0</v>
      </c>
      <c r="G130" s="69">
        <f t="shared" si="0"/>
        <v>0</v>
      </c>
    </row>
    <row r="131" spans="1:7">
      <c r="E131" s="104"/>
    </row>
    <row r="132" spans="1:7" ht="75">
      <c r="A132" s="3" t="s">
        <v>80</v>
      </c>
      <c r="B132" s="2" t="s">
        <v>81</v>
      </c>
      <c r="E132" s="104"/>
    </row>
    <row r="133" spans="1:7" ht="9" customHeight="1">
      <c r="E133" s="104"/>
    </row>
    <row r="134" spans="1:7">
      <c r="B134" s="2" t="s">
        <v>56</v>
      </c>
      <c r="C134" s="1">
        <f>(23.4)*5</f>
        <v>117</v>
      </c>
      <c r="E134" s="101">
        <v>0</v>
      </c>
      <c r="G134" s="69">
        <f t="shared" ref="G134:G210" si="1">C134*E134</f>
        <v>0</v>
      </c>
    </row>
    <row r="135" spans="1:7">
      <c r="E135" s="104"/>
    </row>
    <row r="136" spans="1:7" ht="48.75" customHeight="1">
      <c r="A136" s="3" t="s">
        <v>82</v>
      </c>
      <c r="B136" s="2" t="s">
        <v>79</v>
      </c>
      <c r="E136" s="104"/>
    </row>
    <row r="137" spans="1:7">
      <c r="E137" s="104"/>
    </row>
    <row r="138" spans="1:7">
      <c r="E138" s="104"/>
    </row>
    <row r="139" spans="1:7">
      <c r="E139" s="104"/>
    </row>
    <row r="140" spans="1:7">
      <c r="E140" s="104"/>
    </row>
    <row r="141" spans="1:7">
      <c r="E141" s="104"/>
    </row>
    <row r="142" spans="1:7">
      <c r="E142" s="104"/>
    </row>
    <row r="143" spans="1:7">
      <c r="E143" s="104"/>
    </row>
    <row r="144" spans="1:7">
      <c r="E144" s="104"/>
    </row>
    <row r="145" spans="1:7">
      <c r="E145" s="104"/>
    </row>
    <row r="146" spans="1:7">
      <c r="E146" s="104"/>
    </row>
    <row r="147" spans="1:7">
      <c r="E147" s="104"/>
    </row>
    <row r="148" spans="1:7">
      <c r="E148" s="104"/>
    </row>
    <row r="149" spans="1:7">
      <c r="E149" s="104"/>
    </row>
    <row r="150" spans="1:7">
      <c r="E150" s="104"/>
    </row>
    <row r="151" spans="1:7">
      <c r="E151" s="104"/>
    </row>
    <row r="152" spans="1:7" ht="9.75" customHeight="1">
      <c r="E152" s="104"/>
    </row>
    <row r="153" spans="1:7">
      <c r="B153" s="2" t="s">
        <v>56</v>
      </c>
      <c r="C153" s="1">
        <f>C130</f>
        <v>25</v>
      </c>
      <c r="E153" s="101">
        <v>0</v>
      </c>
      <c r="G153" s="69">
        <f t="shared" si="1"/>
        <v>0</v>
      </c>
    </row>
    <row r="154" spans="1:7">
      <c r="E154" s="104"/>
    </row>
    <row r="155" spans="1:7" ht="45">
      <c r="A155" s="3" t="s">
        <v>84</v>
      </c>
      <c r="B155" s="2" t="s">
        <v>101</v>
      </c>
      <c r="E155" s="104"/>
    </row>
    <row r="156" spans="1:7">
      <c r="E156" s="104"/>
    </row>
    <row r="157" spans="1:7">
      <c r="E157" s="104"/>
    </row>
    <row r="158" spans="1:7">
      <c r="E158" s="104"/>
    </row>
    <row r="159" spans="1:7">
      <c r="E159" s="104"/>
    </row>
    <row r="160" spans="1:7">
      <c r="E160" s="104"/>
    </row>
    <row r="161" spans="1:7">
      <c r="E161" s="104"/>
    </row>
    <row r="162" spans="1:7">
      <c r="E162" s="104"/>
    </row>
    <row r="163" spans="1:7">
      <c r="E163" s="104"/>
    </row>
    <row r="164" spans="1:7">
      <c r="E164" s="104"/>
    </row>
    <row r="165" spans="1:7">
      <c r="E165" s="104"/>
    </row>
    <row r="166" spans="1:7">
      <c r="E166" s="104"/>
    </row>
    <row r="167" spans="1:7">
      <c r="E167" s="104"/>
    </row>
    <row r="168" spans="1:7">
      <c r="E168" s="104"/>
    </row>
    <row r="169" spans="1:7">
      <c r="E169" s="104"/>
    </row>
    <row r="170" spans="1:7">
      <c r="E170" s="104"/>
    </row>
    <row r="171" spans="1:7">
      <c r="B171" s="2" t="s">
        <v>56</v>
      </c>
      <c r="C171" s="1">
        <f>C153</f>
        <v>25</v>
      </c>
      <c r="E171" s="101">
        <v>0</v>
      </c>
      <c r="G171" s="69">
        <f t="shared" si="1"/>
        <v>0</v>
      </c>
    </row>
    <row r="172" spans="1:7">
      <c r="E172" s="104"/>
    </row>
    <row r="173" spans="1:7" ht="60" customHeight="1">
      <c r="A173" s="3" t="s">
        <v>85</v>
      </c>
      <c r="B173" s="2" t="s">
        <v>87</v>
      </c>
      <c r="E173" s="104"/>
    </row>
    <row r="174" spans="1:7" ht="10.5" customHeight="1">
      <c r="E174" s="104"/>
    </row>
    <row r="175" spans="1:7">
      <c r="B175" s="2" t="s">
        <v>56</v>
      </c>
      <c r="C175" s="1">
        <f>(23*1.9+8*1.9+12*2.2+6*2*2.5+9*1.9+18*1.3)*0.33-0.41</f>
        <v>51.004000000000012</v>
      </c>
      <c r="E175" s="101">
        <v>0</v>
      </c>
      <c r="G175" s="69">
        <f t="shared" si="1"/>
        <v>0</v>
      </c>
    </row>
    <row r="176" spans="1:7">
      <c r="E176" s="104"/>
    </row>
    <row r="177" spans="1:7" ht="30">
      <c r="A177" s="3" t="s">
        <v>86</v>
      </c>
      <c r="B177" s="2" t="s">
        <v>179</v>
      </c>
      <c r="E177" s="104"/>
    </row>
    <row r="178" spans="1:7">
      <c r="E178" s="104"/>
    </row>
    <row r="179" spans="1:7">
      <c r="E179" s="104"/>
    </row>
    <row r="180" spans="1:7">
      <c r="E180" s="104"/>
    </row>
    <row r="181" spans="1:7">
      <c r="E181" s="104"/>
    </row>
    <row r="182" spans="1:7">
      <c r="E182" s="104"/>
    </row>
    <row r="183" spans="1:7">
      <c r="E183" s="104"/>
    </row>
    <row r="184" spans="1:7">
      <c r="E184" s="104"/>
    </row>
    <row r="185" spans="1:7">
      <c r="E185" s="104"/>
    </row>
    <row r="186" spans="1:7">
      <c r="E186" s="104"/>
    </row>
    <row r="187" spans="1:7">
      <c r="E187" s="104"/>
    </row>
    <row r="188" spans="1:7">
      <c r="E188" s="104"/>
    </row>
    <row r="189" spans="1:7">
      <c r="E189" s="104"/>
    </row>
    <row r="190" spans="1:7">
      <c r="B190" s="2" t="s">
        <v>45</v>
      </c>
      <c r="C190" s="1">
        <f>2*15.2*2*3.14*0.5*0.25+0.14</f>
        <v>24.004000000000001</v>
      </c>
      <c r="E190" s="101">
        <v>0</v>
      </c>
      <c r="G190" s="69">
        <f>C190*E190</f>
        <v>0</v>
      </c>
    </row>
    <row r="191" spans="1:7">
      <c r="E191" s="104"/>
    </row>
    <row r="192" spans="1:7" ht="45">
      <c r="A192" s="3" t="s">
        <v>91</v>
      </c>
      <c r="B192" s="2" t="s">
        <v>88</v>
      </c>
      <c r="E192" s="104"/>
    </row>
    <row r="193" spans="1:7">
      <c r="E193" s="104"/>
    </row>
    <row r="194" spans="1:7">
      <c r="B194" s="2" t="s">
        <v>56</v>
      </c>
      <c r="C194" s="1">
        <f>C134+C153</f>
        <v>142</v>
      </c>
      <c r="E194" s="101">
        <v>0</v>
      </c>
      <c r="G194" s="69">
        <f t="shared" si="1"/>
        <v>0</v>
      </c>
    </row>
    <row r="195" spans="1:7">
      <c r="E195" s="104"/>
    </row>
    <row r="196" spans="1:7" ht="30">
      <c r="A196" s="3" t="s">
        <v>92</v>
      </c>
      <c r="B196" s="2" t="s">
        <v>102</v>
      </c>
      <c r="E196" s="104"/>
    </row>
    <row r="197" spans="1:7">
      <c r="E197" s="104"/>
    </row>
    <row r="198" spans="1:7">
      <c r="B198" s="2" t="s">
        <v>56</v>
      </c>
      <c r="C198" s="1">
        <f>C171</f>
        <v>25</v>
      </c>
      <c r="E198" s="101">
        <v>0</v>
      </c>
      <c r="G198" s="69">
        <f t="shared" si="1"/>
        <v>0</v>
      </c>
    </row>
    <row r="199" spans="1:7">
      <c r="E199" s="104"/>
    </row>
    <row r="200" spans="1:7">
      <c r="A200" s="3" t="s">
        <v>93</v>
      </c>
      <c r="B200" s="2" t="s">
        <v>103</v>
      </c>
      <c r="E200" s="104"/>
    </row>
    <row r="201" spans="1:7" ht="12" customHeight="1">
      <c r="E201" s="104"/>
    </row>
    <row r="202" spans="1:7">
      <c r="B202" s="2" t="s">
        <v>56</v>
      </c>
      <c r="C202" s="1">
        <f>C175</f>
        <v>51.004000000000012</v>
      </c>
      <c r="E202" s="101">
        <v>0</v>
      </c>
      <c r="G202" s="69">
        <f t="shared" si="1"/>
        <v>0</v>
      </c>
    </row>
    <row r="203" spans="1:7">
      <c r="E203" s="104"/>
    </row>
    <row r="204" spans="1:7" ht="60" customHeight="1">
      <c r="A204" s="3" t="s">
        <v>95</v>
      </c>
      <c r="B204" s="2" t="s">
        <v>94</v>
      </c>
      <c r="E204" s="104"/>
    </row>
    <row r="205" spans="1:7">
      <c r="E205" s="104"/>
    </row>
    <row r="206" spans="1:7">
      <c r="B206" s="2" t="s">
        <v>63</v>
      </c>
      <c r="C206" s="1">
        <v>1</v>
      </c>
      <c r="E206" s="101">
        <v>0</v>
      </c>
      <c r="G206" s="69">
        <f t="shared" si="1"/>
        <v>0</v>
      </c>
    </row>
    <row r="207" spans="1:7">
      <c r="E207" s="104"/>
    </row>
    <row r="208" spans="1:7" ht="45">
      <c r="A208" s="3" t="s">
        <v>98</v>
      </c>
      <c r="B208" s="2" t="s">
        <v>96</v>
      </c>
      <c r="E208" s="104"/>
    </row>
    <row r="209" spans="1:7" ht="12" customHeight="1">
      <c r="E209" s="104"/>
    </row>
    <row r="210" spans="1:7">
      <c r="B210" s="2" t="s">
        <v>97</v>
      </c>
      <c r="C210" s="1">
        <f>C106*0.01*1.25+C118*0.03*1.25</f>
        <v>13.720139999999997</v>
      </c>
      <c r="E210" s="101">
        <v>0</v>
      </c>
      <c r="G210" s="69">
        <f t="shared" si="1"/>
        <v>0</v>
      </c>
    </row>
    <row r="211" spans="1:7">
      <c r="E211" s="104"/>
    </row>
    <row r="212" spans="1:7" ht="45">
      <c r="A212" s="3" t="s">
        <v>104</v>
      </c>
      <c r="B212" s="2" t="s">
        <v>99</v>
      </c>
      <c r="E212" s="104"/>
    </row>
    <row r="213" spans="1:7" ht="9.75" customHeight="1">
      <c r="E213" s="104"/>
    </row>
    <row r="214" spans="1:7">
      <c r="B214" s="2" t="s">
        <v>63</v>
      </c>
      <c r="C214" s="1">
        <v>1</v>
      </c>
      <c r="E214" s="101">
        <v>0</v>
      </c>
      <c r="G214" s="69">
        <f t="shared" ref="G214" si="2">C214*E214</f>
        <v>0</v>
      </c>
    </row>
    <row r="215" spans="1:7">
      <c r="E215" s="104"/>
    </row>
    <row r="216" spans="1:7" ht="15.75" thickBot="1">
      <c r="A216" s="79"/>
      <c r="B216" s="74" t="s">
        <v>100</v>
      </c>
      <c r="C216" s="75"/>
      <c r="D216" s="76"/>
      <c r="E216" s="103"/>
      <c r="F216" s="75" t="s">
        <v>41</v>
      </c>
      <c r="G216" s="75">
        <f>SUM(G63:G215)</f>
        <v>0</v>
      </c>
    </row>
    <row r="217" spans="1:7" ht="15.75" thickTop="1">
      <c r="E217" s="104"/>
    </row>
    <row r="218" spans="1:7">
      <c r="A218" s="5" t="s">
        <v>105</v>
      </c>
      <c r="B218" s="6" t="s">
        <v>106</v>
      </c>
      <c r="E218" s="104"/>
    </row>
    <row r="219" spans="1:7">
      <c r="E219" s="104"/>
    </row>
    <row r="220" spans="1:7" ht="105">
      <c r="A220" s="3" t="s">
        <v>19</v>
      </c>
      <c r="B220" s="22" t="s">
        <v>107</v>
      </c>
      <c r="E220" s="104"/>
    </row>
    <row r="221" spans="1:7">
      <c r="E221" s="104"/>
    </row>
    <row r="222" spans="1:7">
      <c r="B222" s="2" t="s">
        <v>63</v>
      </c>
      <c r="C222" s="1">
        <v>1</v>
      </c>
      <c r="E222" s="101">
        <v>0</v>
      </c>
      <c r="G222" s="69">
        <f>C222*E222</f>
        <v>0</v>
      </c>
    </row>
    <row r="223" spans="1:7">
      <c r="E223" s="104"/>
    </row>
    <row r="224" spans="1:7" ht="15.75" thickBot="1">
      <c r="A224" s="79"/>
      <c r="B224" s="74" t="s">
        <v>108</v>
      </c>
      <c r="C224" s="75"/>
      <c r="D224" s="76"/>
      <c r="E224" s="103"/>
      <c r="F224" s="75" t="s">
        <v>41</v>
      </c>
      <c r="G224" s="75">
        <f>SUM(G218:G223)</f>
        <v>0</v>
      </c>
    </row>
    <row r="225" spans="1:7" ht="15.75" thickTop="1">
      <c r="E225" s="104"/>
    </row>
    <row r="226" spans="1:7">
      <c r="A226" s="5" t="s">
        <v>109</v>
      </c>
      <c r="B226" s="6" t="s">
        <v>110</v>
      </c>
      <c r="E226" s="104"/>
    </row>
    <row r="227" spans="1:7">
      <c r="A227" s="5"/>
      <c r="B227" s="6"/>
      <c r="E227" s="104"/>
    </row>
    <row r="228" spans="1:7" ht="105">
      <c r="A228" s="23" t="s">
        <v>111</v>
      </c>
      <c r="B228" s="24" t="s">
        <v>112</v>
      </c>
      <c r="E228" s="104"/>
    </row>
    <row r="229" spans="1:7">
      <c r="A229" s="5"/>
      <c r="B229" s="6"/>
      <c r="E229" s="104"/>
    </row>
    <row r="230" spans="1:7" ht="60">
      <c r="A230" s="3" t="s">
        <v>19</v>
      </c>
      <c r="B230" s="2" t="s">
        <v>113</v>
      </c>
      <c r="E230" s="104"/>
    </row>
    <row r="231" spans="1:7">
      <c r="E231" s="104"/>
    </row>
    <row r="232" spans="1:7">
      <c r="A232" s="3" t="s">
        <v>114</v>
      </c>
      <c r="B232" s="2" t="s">
        <v>118</v>
      </c>
      <c r="C232" s="1">
        <f>(((34.7+12.5+23.4)*4+12*2.1+15*1.9+6*1.9+6*1.9+9*1.9+12*1.3)*1.05+0.82)*0.33+0.04</f>
        <v>136</v>
      </c>
      <c r="E232" s="101">
        <v>0</v>
      </c>
      <c r="G232" s="69">
        <f t="shared" ref="G232" si="3">C232*E232</f>
        <v>0</v>
      </c>
    </row>
    <row r="233" spans="1:7">
      <c r="E233" s="104"/>
    </row>
    <row r="234" spans="1:7">
      <c r="A234" s="3" t="s">
        <v>115</v>
      </c>
      <c r="B234" s="2" t="s">
        <v>119</v>
      </c>
      <c r="C234" s="1">
        <f>(23.4+2*0.5)*1.05-0.62</f>
        <v>25</v>
      </c>
      <c r="E234" s="101">
        <v>0</v>
      </c>
      <c r="G234" s="69">
        <f t="shared" ref="G234" si="4">C234*E234</f>
        <v>0</v>
      </c>
    </row>
    <row r="235" spans="1:7">
      <c r="E235" s="104"/>
    </row>
    <row r="236" spans="1:7">
      <c r="A236" s="3" t="s">
        <v>116</v>
      </c>
      <c r="B236" s="2" t="s">
        <v>120</v>
      </c>
      <c r="C236" s="1">
        <v>0</v>
      </c>
      <c r="E236" s="101">
        <v>0</v>
      </c>
      <c r="G236" s="69">
        <f t="shared" ref="G236" si="5">C236*E236</f>
        <v>0</v>
      </c>
    </row>
    <row r="237" spans="1:7">
      <c r="E237" s="104"/>
    </row>
    <row r="238" spans="1:7" ht="60">
      <c r="A238" s="3" t="s">
        <v>46</v>
      </c>
      <c r="B238" s="2" t="s">
        <v>132</v>
      </c>
      <c r="E238" s="104"/>
    </row>
    <row r="239" spans="1:7">
      <c r="E239" s="104"/>
    </row>
    <row r="240" spans="1:7">
      <c r="B240" s="2" t="s">
        <v>56</v>
      </c>
      <c r="C240" s="1">
        <f>(2*15.2+2*1)*1.05-0.02</f>
        <v>34</v>
      </c>
      <c r="E240" s="101">
        <v>0</v>
      </c>
      <c r="G240" s="69">
        <f t="shared" ref="G240" si="6">C240*E240</f>
        <v>0</v>
      </c>
    </row>
    <row r="241" spans="1:7">
      <c r="E241" s="104"/>
    </row>
    <row r="242" spans="1:7">
      <c r="A242" s="3" t="s">
        <v>50</v>
      </c>
      <c r="B242" s="2" t="s">
        <v>117</v>
      </c>
      <c r="E242" s="104"/>
    </row>
    <row r="243" spans="1:7">
      <c r="E243" s="104"/>
    </row>
    <row r="244" spans="1:7">
      <c r="A244" s="3" t="s">
        <v>114</v>
      </c>
      <c r="B244" s="2" t="s">
        <v>118</v>
      </c>
      <c r="C244" s="1">
        <f>C232</f>
        <v>136</v>
      </c>
      <c r="E244" s="101">
        <v>0</v>
      </c>
      <c r="G244" s="69">
        <f t="shared" ref="G244" si="7">C244*E244</f>
        <v>0</v>
      </c>
    </row>
    <row r="245" spans="1:7">
      <c r="E245" s="104"/>
    </row>
    <row r="246" spans="1:7">
      <c r="A246" s="3" t="s">
        <v>115</v>
      </c>
      <c r="B246" s="2" t="s">
        <v>119</v>
      </c>
      <c r="C246" s="1">
        <f>C234</f>
        <v>25</v>
      </c>
      <c r="E246" s="101">
        <v>0</v>
      </c>
      <c r="G246" s="69">
        <f t="shared" ref="G246" si="8">C246*E246</f>
        <v>0</v>
      </c>
    </row>
    <row r="247" spans="1:7">
      <c r="E247" s="104"/>
    </row>
    <row r="248" spans="1:7">
      <c r="A248" s="3" t="s">
        <v>116</v>
      </c>
      <c r="B248" s="2" t="s">
        <v>120</v>
      </c>
      <c r="C248" s="1">
        <f>C236</f>
        <v>0</v>
      </c>
      <c r="E248" s="101">
        <v>0</v>
      </c>
      <c r="G248" s="69">
        <f t="shared" ref="G248" si="9">C248*E248</f>
        <v>0</v>
      </c>
    </row>
    <row r="249" spans="1:7">
      <c r="E249" s="104"/>
    </row>
    <row r="250" spans="1:7" ht="45">
      <c r="A250" s="3" t="s">
        <v>52</v>
      </c>
      <c r="B250" s="2" t="s">
        <v>121</v>
      </c>
      <c r="E250" s="104"/>
    </row>
    <row r="251" spans="1:7">
      <c r="E251" s="104"/>
    </row>
    <row r="252" spans="1:7">
      <c r="B252" s="2" t="s">
        <v>45</v>
      </c>
      <c r="C252" s="1">
        <f>(3*0.6)*1.05+0.01</f>
        <v>1.9</v>
      </c>
      <c r="E252" s="101">
        <v>0</v>
      </c>
      <c r="G252" s="69">
        <f t="shared" ref="G252" si="10">C252*E252</f>
        <v>0</v>
      </c>
    </row>
    <row r="253" spans="1:7">
      <c r="E253" s="104"/>
    </row>
    <row r="254" spans="1:7" ht="45">
      <c r="A254" s="3" t="s">
        <v>54</v>
      </c>
      <c r="B254" s="2" t="s">
        <v>133</v>
      </c>
      <c r="E254" s="104"/>
    </row>
    <row r="255" spans="1:7">
      <c r="E255" s="104"/>
    </row>
    <row r="256" spans="1:7">
      <c r="B256" s="2" t="s">
        <v>56</v>
      </c>
      <c r="C256" s="1">
        <f>23.4+2*1+0.6</f>
        <v>26</v>
      </c>
      <c r="E256" s="101">
        <v>0</v>
      </c>
      <c r="G256" s="69">
        <f t="shared" ref="G256" si="11">C256*E256</f>
        <v>0</v>
      </c>
    </row>
    <row r="257" spans="1:7">
      <c r="E257" s="104"/>
    </row>
    <row r="258" spans="1:7" ht="30">
      <c r="A258" s="3" t="s">
        <v>57</v>
      </c>
      <c r="B258" s="2" t="s">
        <v>122</v>
      </c>
      <c r="E258" s="104"/>
    </row>
    <row r="259" spans="1:7">
      <c r="E259" s="104"/>
    </row>
    <row r="260" spans="1:7">
      <c r="B260" s="2" t="s">
        <v>59</v>
      </c>
      <c r="C260" s="1">
        <v>2</v>
      </c>
      <c r="E260" s="101">
        <v>0</v>
      </c>
      <c r="G260" s="69">
        <f t="shared" ref="G260" si="12">C260*E260</f>
        <v>0</v>
      </c>
    </row>
    <row r="261" spans="1:7">
      <c r="E261" s="104"/>
    </row>
    <row r="262" spans="1:7" ht="60">
      <c r="A262" s="3" t="s">
        <v>58</v>
      </c>
      <c r="B262" s="2" t="s">
        <v>123</v>
      </c>
      <c r="E262" s="104"/>
    </row>
    <row r="263" spans="1:7">
      <c r="E263" s="104"/>
    </row>
    <row r="264" spans="1:7">
      <c r="B264" s="2" t="s">
        <v>56</v>
      </c>
      <c r="C264" s="1">
        <f>(C244+C246+C248)</f>
        <v>161</v>
      </c>
      <c r="E264" s="101">
        <v>0</v>
      </c>
      <c r="G264" s="69">
        <f t="shared" ref="G264" si="13">C264*E264</f>
        <v>0</v>
      </c>
    </row>
    <row r="265" spans="1:7">
      <c r="E265" s="104"/>
    </row>
    <row r="266" spans="1:7" ht="15.75" thickBot="1">
      <c r="A266" s="79"/>
      <c r="B266" s="74" t="s">
        <v>124</v>
      </c>
      <c r="C266" s="75"/>
      <c r="D266" s="76"/>
      <c r="E266" s="103"/>
      <c r="F266" s="75" t="s">
        <v>41</v>
      </c>
      <c r="G266" s="75">
        <f>SUM(G226:G265)</f>
        <v>0</v>
      </c>
    </row>
    <row r="267" spans="1:7" ht="15.75" thickTop="1">
      <c r="E267" s="104"/>
    </row>
    <row r="268" spans="1:7">
      <c r="A268" s="5" t="s">
        <v>125</v>
      </c>
      <c r="B268" s="6" t="s">
        <v>126</v>
      </c>
      <c r="C268" s="25"/>
      <c r="D268" s="30"/>
      <c r="E268" s="105"/>
      <c r="F268" s="25"/>
      <c r="G268" s="25"/>
    </row>
    <row r="269" spans="1:7">
      <c r="E269" s="104"/>
    </row>
    <row r="270" spans="1:7" ht="45">
      <c r="A270" s="3" t="s">
        <v>19</v>
      </c>
      <c r="B270" s="2" t="s">
        <v>127</v>
      </c>
      <c r="E270" s="104"/>
    </row>
    <row r="271" spans="1:7">
      <c r="E271" s="104"/>
    </row>
    <row r="272" spans="1:7">
      <c r="B272" s="2" t="s">
        <v>59</v>
      </c>
      <c r="C272" s="1">
        <v>1</v>
      </c>
      <c r="E272" s="101">
        <v>0</v>
      </c>
      <c r="G272" s="69">
        <f t="shared" ref="G272" si="14">C272*E272</f>
        <v>0</v>
      </c>
    </row>
    <row r="273" spans="1:5">
      <c r="E273" s="104"/>
    </row>
    <row r="274" spans="1:5" ht="60">
      <c r="A274" s="3" t="s">
        <v>46</v>
      </c>
      <c r="B274" s="2" t="s">
        <v>128</v>
      </c>
      <c r="E274" s="104"/>
    </row>
    <row r="275" spans="1:5">
      <c r="E275" s="104"/>
    </row>
    <row r="276" spans="1:5">
      <c r="E276" s="104"/>
    </row>
    <row r="277" spans="1:5">
      <c r="E277" s="104"/>
    </row>
    <row r="278" spans="1:5">
      <c r="E278" s="104"/>
    </row>
    <row r="279" spans="1:5">
      <c r="E279" s="104"/>
    </row>
    <row r="280" spans="1:5">
      <c r="E280" s="104"/>
    </row>
    <row r="281" spans="1:5">
      <c r="E281" s="104"/>
    </row>
    <row r="282" spans="1:5">
      <c r="E282" s="104"/>
    </row>
    <row r="283" spans="1:5">
      <c r="E283" s="104"/>
    </row>
    <row r="284" spans="1:5">
      <c r="E284" s="104"/>
    </row>
    <row r="285" spans="1:5">
      <c r="E285" s="104"/>
    </row>
    <row r="286" spans="1:5" ht="9.75" customHeight="1">
      <c r="E286" s="104"/>
    </row>
    <row r="287" spans="1:5">
      <c r="B287" s="2" t="s">
        <v>131</v>
      </c>
      <c r="E287" s="104"/>
    </row>
    <row r="288" spans="1:5">
      <c r="E288" s="104"/>
    </row>
    <row r="289" spans="1:7">
      <c r="B289" s="2" t="s">
        <v>59</v>
      </c>
      <c r="C289" s="1">
        <v>7</v>
      </c>
      <c r="E289" s="101">
        <v>0</v>
      </c>
      <c r="G289" s="69">
        <f t="shared" ref="G289" si="15">C289*E289</f>
        <v>0</v>
      </c>
    </row>
    <row r="290" spans="1:7">
      <c r="E290" s="104"/>
    </row>
    <row r="291" spans="1:7" ht="15.75" thickBot="1">
      <c r="A291" s="79"/>
      <c r="B291" s="74" t="s">
        <v>129</v>
      </c>
      <c r="C291" s="75"/>
      <c r="D291" s="76"/>
      <c r="E291" s="103"/>
      <c r="F291" s="75" t="s">
        <v>41</v>
      </c>
      <c r="G291" s="75">
        <f>SUM(G268:G290)</f>
        <v>0</v>
      </c>
    </row>
    <row r="292" spans="1:7" ht="15.75" thickTop="1">
      <c r="E292" s="104"/>
    </row>
    <row r="293" spans="1:7">
      <c r="A293" s="5" t="s">
        <v>134</v>
      </c>
      <c r="B293" s="6" t="s">
        <v>135</v>
      </c>
      <c r="E293" s="104"/>
    </row>
    <row r="294" spans="1:7">
      <c r="E294" s="104"/>
    </row>
    <row r="295" spans="1:7" ht="60">
      <c r="A295" s="3" t="s">
        <v>111</v>
      </c>
      <c r="B295" s="2" t="s">
        <v>139</v>
      </c>
      <c r="E295" s="104"/>
    </row>
    <row r="296" spans="1:7">
      <c r="E296" s="104"/>
    </row>
    <row r="297" spans="1:7" ht="105">
      <c r="B297" s="2" t="s">
        <v>141</v>
      </c>
      <c r="E297" s="104"/>
    </row>
    <row r="298" spans="1:7">
      <c r="E298" s="104"/>
    </row>
    <row r="299" spans="1:7" ht="180">
      <c r="A299" s="3" t="s">
        <v>19</v>
      </c>
      <c r="B299" s="2" t="s">
        <v>138</v>
      </c>
      <c r="E299" s="104"/>
    </row>
    <row r="300" spans="1:7">
      <c r="E300" s="104"/>
    </row>
    <row r="301" spans="1:7">
      <c r="B301" s="2" t="s">
        <v>59</v>
      </c>
      <c r="C301" s="1">
        <v>1</v>
      </c>
      <c r="E301" s="101">
        <v>0</v>
      </c>
      <c r="G301" s="69">
        <f t="shared" ref="G301" si="16">C301*E301</f>
        <v>0</v>
      </c>
    </row>
    <row r="302" spans="1:7">
      <c r="E302" s="104"/>
    </row>
    <row r="303" spans="1:7" ht="45">
      <c r="A303" s="3" t="s">
        <v>46</v>
      </c>
      <c r="B303" s="2" t="s">
        <v>142</v>
      </c>
      <c r="E303" s="104"/>
    </row>
    <row r="304" spans="1:7">
      <c r="E304" s="104"/>
    </row>
    <row r="305" spans="1:7">
      <c r="A305" s="3" t="s">
        <v>114</v>
      </c>
      <c r="B305" s="2" t="s">
        <v>143</v>
      </c>
      <c r="C305" s="1">
        <v>13</v>
      </c>
      <c r="E305" s="101">
        <v>0</v>
      </c>
      <c r="G305" s="69">
        <f t="shared" ref="G305" si="17">C305*E305</f>
        <v>0</v>
      </c>
    </row>
    <row r="306" spans="1:7">
      <c r="E306" s="104"/>
    </row>
    <row r="307" spans="1:7">
      <c r="A307" s="3" t="s">
        <v>115</v>
      </c>
      <c r="B307" s="2" t="s">
        <v>144</v>
      </c>
      <c r="C307" s="1">
        <f>15*0.8</f>
        <v>12</v>
      </c>
      <c r="E307" s="101">
        <v>0</v>
      </c>
      <c r="G307" s="69">
        <f t="shared" ref="G307" si="18">C307*E307</f>
        <v>0</v>
      </c>
    </row>
    <row r="308" spans="1:7">
      <c r="E308" s="104"/>
    </row>
    <row r="309" spans="1:7" ht="45">
      <c r="A309" s="3" t="s">
        <v>50</v>
      </c>
      <c r="B309" s="2" t="s">
        <v>192</v>
      </c>
      <c r="E309" s="104"/>
    </row>
    <row r="310" spans="1:7">
      <c r="E310" s="104"/>
    </row>
    <row r="311" spans="1:7">
      <c r="B311" s="2" t="s">
        <v>59</v>
      </c>
      <c r="C311" s="1">
        <v>15</v>
      </c>
      <c r="E311" s="101">
        <v>0</v>
      </c>
      <c r="G311" s="69">
        <f t="shared" ref="G311" si="19">C311*E311</f>
        <v>0</v>
      </c>
    </row>
    <row r="312" spans="1:7">
      <c r="E312" s="104"/>
    </row>
    <row r="313" spans="1:7" ht="195" customHeight="1">
      <c r="A313" s="3" t="s">
        <v>52</v>
      </c>
      <c r="B313" s="2" t="s">
        <v>180</v>
      </c>
      <c r="E313" s="104"/>
    </row>
    <row r="314" spans="1:7">
      <c r="E314" s="104"/>
    </row>
    <row r="315" spans="1:7">
      <c r="A315" s="3" t="s">
        <v>114</v>
      </c>
      <c r="B315" s="2" t="s">
        <v>146</v>
      </c>
      <c r="C315" s="1">
        <f>C305</f>
        <v>13</v>
      </c>
      <c r="E315" s="101">
        <v>0</v>
      </c>
      <c r="G315" s="69">
        <f t="shared" ref="G315" si="20">C315*E315</f>
        <v>0</v>
      </c>
    </row>
    <row r="316" spans="1:7">
      <c r="E316" s="104"/>
    </row>
    <row r="317" spans="1:7">
      <c r="A317" s="3" t="s">
        <v>115</v>
      </c>
      <c r="B317" s="2" t="s">
        <v>147</v>
      </c>
      <c r="C317" s="1">
        <f>C307</f>
        <v>12</v>
      </c>
      <c r="E317" s="101">
        <v>0</v>
      </c>
      <c r="G317" s="69">
        <f t="shared" ref="G317" si="21">C317*E317</f>
        <v>0</v>
      </c>
    </row>
    <row r="318" spans="1:7">
      <c r="E318" s="104"/>
    </row>
    <row r="319" spans="1:7">
      <c r="E319" s="104"/>
    </row>
    <row r="320" spans="1:7">
      <c r="E320" s="104"/>
    </row>
    <row r="321" spans="1:7" ht="210">
      <c r="A321" s="3" t="s">
        <v>54</v>
      </c>
      <c r="B321" s="17" t="s">
        <v>149</v>
      </c>
      <c r="C321" s="31"/>
      <c r="D321" s="26"/>
      <c r="E321" s="106"/>
      <c r="F321" s="33"/>
      <c r="G321" s="32"/>
    </row>
    <row r="322" spans="1:7">
      <c r="B322" s="17"/>
      <c r="C322" s="31"/>
      <c r="D322" s="26"/>
      <c r="E322" s="106"/>
      <c r="F322" s="33"/>
      <c r="G322" s="32"/>
    </row>
    <row r="323" spans="1:7">
      <c r="B323" s="17"/>
      <c r="C323" s="31"/>
      <c r="D323" s="26"/>
      <c r="E323" s="106"/>
      <c r="F323" s="33"/>
      <c r="G323" s="32"/>
    </row>
    <row r="324" spans="1:7">
      <c r="B324" s="17"/>
      <c r="C324" s="31"/>
      <c r="D324" s="26"/>
      <c r="E324" s="106"/>
      <c r="F324" s="33"/>
      <c r="G324" s="32"/>
    </row>
    <row r="325" spans="1:7">
      <c r="B325" s="17"/>
      <c r="C325" s="31"/>
      <c r="D325" s="26"/>
      <c r="E325" s="106"/>
      <c r="F325" s="33"/>
      <c r="G325" s="32"/>
    </row>
    <row r="326" spans="1:7">
      <c r="B326" s="17"/>
      <c r="C326" s="31"/>
      <c r="D326" s="26"/>
      <c r="E326" s="106"/>
      <c r="F326" s="33"/>
      <c r="G326" s="32"/>
    </row>
    <row r="327" spans="1:7">
      <c r="B327" s="17"/>
      <c r="C327" s="31"/>
      <c r="D327" s="26"/>
      <c r="E327" s="106"/>
      <c r="F327" s="33"/>
      <c r="G327" s="32"/>
    </row>
    <row r="328" spans="1:7">
      <c r="B328" s="17"/>
      <c r="C328" s="31"/>
      <c r="D328" s="26"/>
      <c r="E328" s="106"/>
      <c r="F328" s="33"/>
      <c r="G328" s="32"/>
    </row>
    <row r="329" spans="1:7">
      <c r="B329" s="17"/>
      <c r="C329" s="31"/>
      <c r="D329" s="26"/>
      <c r="E329" s="106"/>
      <c r="F329" s="33"/>
      <c r="G329" s="32"/>
    </row>
    <row r="330" spans="1:7">
      <c r="B330" s="17"/>
      <c r="C330" s="31"/>
      <c r="D330" s="26"/>
      <c r="E330" s="106"/>
      <c r="F330" s="33"/>
      <c r="G330" s="32"/>
    </row>
    <row r="331" spans="1:7">
      <c r="B331" s="17"/>
      <c r="C331" s="31"/>
      <c r="D331" s="26"/>
      <c r="E331" s="106"/>
      <c r="F331" s="33"/>
      <c r="G331" s="32"/>
    </row>
    <row r="332" spans="1:7">
      <c r="B332" s="17"/>
      <c r="C332" s="31"/>
      <c r="D332" s="26"/>
      <c r="E332" s="106"/>
      <c r="F332" s="33"/>
      <c r="G332" s="32"/>
    </row>
    <row r="333" spans="1:7">
      <c r="B333" s="17"/>
      <c r="C333" s="31"/>
      <c r="D333" s="26"/>
      <c r="E333" s="106"/>
      <c r="F333" s="33"/>
      <c r="G333" s="32"/>
    </row>
    <row r="334" spans="1:7">
      <c r="B334" s="17"/>
      <c r="C334" s="31"/>
      <c r="D334" s="26"/>
      <c r="E334" s="106"/>
      <c r="F334" s="33"/>
      <c r="G334" s="32"/>
    </row>
    <row r="335" spans="1:7">
      <c r="B335" s="17"/>
      <c r="C335" s="31"/>
      <c r="D335" s="26"/>
      <c r="E335" s="106"/>
      <c r="F335" s="33"/>
      <c r="G335" s="32"/>
    </row>
    <row r="336" spans="1:7">
      <c r="B336" s="17"/>
      <c r="C336" s="31"/>
      <c r="D336" s="26"/>
      <c r="E336" s="106"/>
      <c r="F336" s="33"/>
      <c r="G336" s="32"/>
    </row>
    <row r="337" spans="1:7">
      <c r="B337" s="17"/>
      <c r="C337" s="31"/>
      <c r="D337" s="26"/>
      <c r="E337" s="106"/>
      <c r="F337" s="33"/>
      <c r="G337" s="32"/>
    </row>
    <row r="338" spans="1:7">
      <c r="B338" s="17"/>
      <c r="C338" s="31"/>
      <c r="D338" s="26"/>
      <c r="E338" s="106"/>
      <c r="F338" s="33"/>
      <c r="G338" s="32"/>
    </row>
    <row r="339" spans="1:7">
      <c r="B339" s="17"/>
      <c r="C339" s="31"/>
      <c r="D339" s="26"/>
      <c r="E339" s="106"/>
      <c r="F339" s="33"/>
      <c r="G339" s="32"/>
    </row>
    <row r="340" spans="1:7">
      <c r="B340" s="17" t="s">
        <v>181</v>
      </c>
      <c r="C340" s="31"/>
      <c r="D340" s="26"/>
      <c r="E340" s="106"/>
      <c r="F340" s="33"/>
      <c r="G340" s="32"/>
    </row>
    <row r="341" spans="1:7">
      <c r="B341" s="17"/>
      <c r="C341" s="31"/>
      <c r="D341" s="26"/>
      <c r="E341" s="106"/>
      <c r="F341" s="33"/>
      <c r="G341" s="32"/>
    </row>
    <row r="342" spans="1:7">
      <c r="B342" s="17"/>
      <c r="C342" s="31"/>
      <c r="D342" s="26"/>
      <c r="E342" s="106"/>
      <c r="F342" s="33"/>
      <c r="G342" s="32"/>
    </row>
    <row r="343" spans="1:7">
      <c r="B343" s="17"/>
      <c r="C343" s="31"/>
      <c r="D343" s="26"/>
      <c r="E343" s="106"/>
      <c r="F343" s="33"/>
      <c r="G343" s="32"/>
    </row>
    <row r="344" spans="1:7">
      <c r="B344" s="17"/>
      <c r="C344" s="31"/>
      <c r="D344" s="26"/>
      <c r="E344" s="106"/>
      <c r="F344" s="33"/>
      <c r="G344" s="32"/>
    </row>
    <row r="345" spans="1:7">
      <c r="B345" s="17"/>
      <c r="C345" s="31"/>
      <c r="D345" s="26"/>
      <c r="E345" s="106"/>
      <c r="F345" s="33"/>
      <c r="G345" s="32"/>
    </row>
    <row r="346" spans="1:7">
      <c r="B346" s="17"/>
      <c r="C346" s="31"/>
      <c r="D346" s="26"/>
      <c r="E346" s="106"/>
      <c r="F346" s="33"/>
      <c r="G346" s="32"/>
    </row>
    <row r="347" spans="1:7">
      <c r="B347" s="17"/>
      <c r="C347" s="31"/>
      <c r="D347" s="26"/>
      <c r="E347" s="106"/>
      <c r="F347" s="33"/>
      <c r="G347" s="32"/>
    </row>
    <row r="348" spans="1:7">
      <c r="B348" s="17"/>
      <c r="C348" s="31"/>
      <c r="D348" s="26"/>
      <c r="E348" s="106"/>
      <c r="F348" s="33"/>
      <c r="G348" s="32"/>
    </row>
    <row r="349" spans="1:7">
      <c r="B349" s="17" t="s">
        <v>150</v>
      </c>
      <c r="C349" s="31"/>
      <c r="D349" s="26"/>
      <c r="E349" s="106"/>
      <c r="F349" s="33"/>
      <c r="G349" s="32"/>
    </row>
    <row r="350" spans="1:7">
      <c r="B350" s="17"/>
      <c r="C350" s="31"/>
      <c r="D350" s="26"/>
      <c r="E350" s="106"/>
      <c r="F350" s="33"/>
      <c r="G350" s="32"/>
    </row>
    <row r="351" spans="1:7">
      <c r="A351" s="23" t="s">
        <v>114</v>
      </c>
      <c r="B351" s="17" t="s">
        <v>152</v>
      </c>
      <c r="C351" s="36"/>
      <c r="D351" s="37"/>
      <c r="E351" s="107"/>
      <c r="F351" s="38"/>
      <c r="G351" s="39"/>
    </row>
    <row r="352" spans="1:7">
      <c r="A352" s="23"/>
      <c r="B352" s="17"/>
      <c r="C352" s="36"/>
      <c r="D352" s="37"/>
      <c r="E352" s="107"/>
      <c r="F352" s="38"/>
      <c r="G352" s="39"/>
    </row>
    <row r="353" spans="1:7">
      <c r="A353" s="23"/>
      <c r="B353" s="17" t="s">
        <v>59</v>
      </c>
      <c r="C353" s="36">
        <v>1</v>
      </c>
      <c r="D353" s="37"/>
      <c r="E353" s="101">
        <v>0</v>
      </c>
      <c r="G353" s="69">
        <f t="shared" ref="G353" si="22">C353*E353</f>
        <v>0</v>
      </c>
    </row>
    <row r="354" spans="1:7">
      <c r="A354" s="23"/>
      <c r="B354" s="17"/>
      <c r="C354" s="36"/>
      <c r="D354" s="37"/>
      <c r="E354" s="107"/>
      <c r="F354" s="38"/>
      <c r="G354" s="39"/>
    </row>
    <row r="355" spans="1:7" s="46" customFormat="1" ht="15.75" thickBot="1">
      <c r="A355" s="79"/>
      <c r="B355" s="81" t="s">
        <v>153</v>
      </c>
      <c r="C355" s="82"/>
      <c r="D355" s="83"/>
      <c r="E355" s="109"/>
      <c r="F355" s="84" t="s">
        <v>41</v>
      </c>
      <c r="G355" s="85">
        <f>SUM(G293:G354)</f>
        <v>0</v>
      </c>
    </row>
    <row r="356" spans="1:7" ht="15.75" thickTop="1">
      <c r="B356" s="20"/>
      <c r="C356" s="31"/>
      <c r="D356" s="26"/>
      <c r="E356" s="106"/>
      <c r="F356" s="33"/>
      <c r="G356" s="32"/>
    </row>
    <row r="357" spans="1:7">
      <c r="A357" s="5" t="s">
        <v>136</v>
      </c>
      <c r="B357" s="6" t="s">
        <v>137</v>
      </c>
      <c r="E357" s="104"/>
      <c r="F357" s="34"/>
    </row>
    <row r="358" spans="1:7">
      <c r="E358" s="104"/>
      <c r="F358" s="34"/>
    </row>
    <row r="359" spans="1:7" ht="135">
      <c r="A359" s="3" t="s">
        <v>111</v>
      </c>
      <c r="B359" s="2" t="s">
        <v>140</v>
      </c>
      <c r="E359" s="104"/>
      <c r="F359" s="34"/>
    </row>
    <row r="360" spans="1:7">
      <c r="E360" s="104"/>
      <c r="F360" s="34"/>
    </row>
    <row r="361" spans="1:7" ht="90">
      <c r="A361" s="3" t="s">
        <v>19</v>
      </c>
      <c r="B361" s="17" t="s">
        <v>156</v>
      </c>
      <c r="E361" s="104"/>
      <c r="F361" s="34"/>
    </row>
    <row r="362" spans="1:7">
      <c r="B362" s="21"/>
      <c r="E362" s="104"/>
      <c r="F362" s="34"/>
    </row>
    <row r="363" spans="1:7">
      <c r="B363" s="2" t="s">
        <v>45</v>
      </c>
      <c r="C363" s="1">
        <f>C106</f>
        <v>392.00399999999996</v>
      </c>
      <c r="E363" s="101">
        <v>0</v>
      </c>
      <c r="G363" s="69">
        <f t="shared" ref="G363" si="23">C363*E363</f>
        <v>0</v>
      </c>
    </row>
    <row r="364" spans="1:7">
      <c r="E364" s="104"/>
      <c r="F364" s="34"/>
    </row>
    <row r="365" spans="1:7" ht="90.75" customHeight="1">
      <c r="A365" s="3" t="s">
        <v>154</v>
      </c>
      <c r="B365" s="17" t="s">
        <v>155</v>
      </c>
      <c r="E365" s="104"/>
      <c r="F365" s="34"/>
    </row>
    <row r="366" spans="1:7">
      <c r="E366" s="104"/>
      <c r="F366" s="34"/>
    </row>
    <row r="367" spans="1:7">
      <c r="B367" s="2" t="s">
        <v>45</v>
      </c>
      <c r="C367" s="1">
        <f>C363</f>
        <v>392.00399999999996</v>
      </c>
      <c r="E367" s="101">
        <v>0</v>
      </c>
      <c r="G367" s="69">
        <f t="shared" ref="G367" si="24">C367*E367</f>
        <v>0</v>
      </c>
    </row>
    <row r="368" spans="1:7">
      <c r="E368" s="104"/>
      <c r="F368" s="34"/>
    </row>
    <row r="369" spans="1:7" ht="255">
      <c r="A369" s="3" t="s">
        <v>50</v>
      </c>
      <c r="B369" s="17" t="s">
        <v>173</v>
      </c>
      <c r="E369" s="104"/>
      <c r="F369" s="34"/>
    </row>
    <row r="370" spans="1:7">
      <c r="B370" s="17"/>
      <c r="E370" s="104"/>
      <c r="F370" s="34"/>
    </row>
    <row r="371" spans="1:7">
      <c r="A371" s="3" t="s">
        <v>114</v>
      </c>
      <c r="B371" s="17" t="s">
        <v>157</v>
      </c>
      <c r="C371" s="1">
        <v>3</v>
      </c>
      <c r="E371" s="101">
        <v>0</v>
      </c>
      <c r="G371" s="69">
        <f t="shared" ref="G371" si="25">C371*E371</f>
        <v>0</v>
      </c>
    </row>
    <row r="372" spans="1:7">
      <c r="B372" s="17"/>
      <c r="E372" s="104"/>
      <c r="F372" s="34"/>
    </row>
    <row r="373" spans="1:7">
      <c r="A373" s="3" t="s">
        <v>115</v>
      </c>
      <c r="B373" s="17" t="s">
        <v>147</v>
      </c>
      <c r="C373" s="1">
        <v>3</v>
      </c>
      <c r="E373" s="101">
        <v>0</v>
      </c>
      <c r="G373" s="69">
        <f t="shared" ref="G373" si="26">C373*E373</f>
        <v>0</v>
      </c>
    </row>
    <row r="374" spans="1:7">
      <c r="B374" s="17"/>
      <c r="E374" s="104"/>
      <c r="F374" s="34"/>
    </row>
    <row r="375" spans="1:7" ht="45">
      <c r="A375" s="3" t="s">
        <v>52</v>
      </c>
      <c r="B375" s="17" t="s">
        <v>158</v>
      </c>
      <c r="E375" s="104"/>
      <c r="F375" s="34"/>
    </row>
    <row r="376" spans="1:7">
      <c r="B376" s="17"/>
      <c r="E376" s="104"/>
      <c r="F376" s="34"/>
    </row>
    <row r="377" spans="1:7">
      <c r="B377" s="17" t="s">
        <v>45</v>
      </c>
      <c r="C377" s="1">
        <v>1</v>
      </c>
      <c r="E377" s="101">
        <v>0</v>
      </c>
      <c r="G377" s="69">
        <f t="shared" ref="G377" si="27">C377*E377</f>
        <v>0</v>
      </c>
    </row>
    <row r="378" spans="1:7">
      <c r="B378" s="17"/>
      <c r="E378" s="104"/>
      <c r="F378" s="34"/>
    </row>
    <row r="379" spans="1:7" ht="30">
      <c r="A379" s="3" t="s">
        <v>54</v>
      </c>
      <c r="B379" s="40" t="s">
        <v>159</v>
      </c>
      <c r="E379" s="104"/>
      <c r="F379" s="34"/>
    </row>
    <row r="380" spans="1:7">
      <c r="E380" s="104"/>
      <c r="F380" s="34"/>
    </row>
    <row r="381" spans="1:7">
      <c r="B381" s="2" t="s">
        <v>59</v>
      </c>
      <c r="C381" s="1">
        <v>1</v>
      </c>
      <c r="E381" s="101">
        <v>0</v>
      </c>
      <c r="F381" s="34"/>
      <c r="G381" s="69">
        <f>C381*E381</f>
        <v>0</v>
      </c>
    </row>
    <row r="382" spans="1:7">
      <c r="E382" s="104"/>
      <c r="F382" s="34"/>
    </row>
    <row r="383" spans="1:7" ht="15.75" thickBot="1">
      <c r="A383" s="79"/>
      <c r="B383" s="74" t="s">
        <v>160</v>
      </c>
      <c r="C383" s="75"/>
      <c r="D383" s="76"/>
      <c r="E383" s="103"/>
      <c r="F383" s="86" t="s">
        <v>41</v>
      </c>
      <c r="G383" s="75">
        <f>SUM(G357:G382)</f>
        <v>0</v>
      </c>
    </row>
    <row r="384" spans="1:7" ht="15.75" thickTop="1">
      <c r="F384" s="34"/>
    </row>
    <row r="385" spans="1:7">
      <c r="A385" s="5" t="s">
        <v>161</v>
      </c>
      <c r="B385" s="6" t="s">
        <v>162</v>
      </c>
    </row>
    <row r="387" spans="1:7" ht="120">
      <c r="A387" s="3">
        <v>1</v>
      </c>
      <c r="B387" s="2" t="s">
        <v>163</v>
      </c>
      <c r="G387" s="71">
        <f>(G61+G216+G224+G266+G291+G355+G383)*0.1</f>
        <v>0</v>
      </c>
    </row>
    <row r="388" spans="1:7">
      <c r="G388" s="41"/>
    </row>
    <row r="389" spans="1:7" ht="15.75" thickBot="1">
      <c r="A389" s="79"/>
      <c r="B389" s="74" t="s">
        <v>164</v>
      </c>
      <c r="C389" s="75"/>
      <c r="D389" s="76"/>
      <c r="E389" s="75"/>
      <c r="F389" s="75" t="s">
        <v>41</v>
      </c>
      <c r="G389" s="75">
        <f>SUM(G385:G388)</f>
        <v>0</v>
      </c>
    </row>
    <row r="390" spans="1:7" ht="15.75" thickTop="1">
      <c r="A390" s="42"/>
      <c r="B390" s="43"/>
      <c r="C390" s="44"/>
      <c r="D390" s="45"/>
      <c r="E390" s="44"/>
      <c r="F390" s="44"/>
      <c r="G390" s="44"/>
    </row>
    <row r="392" spans="1:7">
      <c r="A392" s="95"/>
      <c r="B392" s="96" t="s">
        <v>165</v>
      </c>
    </row>
    <row r="394" spans="1:7">
      <c r="A394" s="3" t="s">
        <v>17</v>
      </c>
      <c r="B394" s="2" t="s">
        <v>18</v>
      </c>
      <c r="G394" s="1">
        <f>G61</f>
        <v>0</v>
      </c>
    </row>
    <row r="396" spans="1:7">
      <c r="A396" s="3" t="s">
        <v>42</v>
      </c>
      <c r="B396" s="2" t="s">
        <v>43</v>
      </c>
      <c r="G396" s="1">
        <f>G216</f>
        <v>0</v>
      </c>
    </row>
    <row r="398" spans="1:7">
      <c r="A398" s="3" t="s">
        <v>105</v>
      </c>
      <c r="B398" s="2" t="s">
        <v>106</v>
      </c>
      <c r="G398" s="1">
        <f>G224</f>
        <v>0</v>
      </c>
    </row>
    <row r="400" spans="1:7">
      <c r="A400" s="3" t="s">
        <v>109</v>
      </c>
      <c r="B400" s="2" t="s">
        <v>110</v>
      </c>
      <c r="G400" s="1">
        <f>G266</f>
        <v>0</v>
      </c>
    </row>
    <row r="402" spans="1:7">
      <c r="A402" s="3" t="s">
        <v>125</v>
      </c>
      <c r="B402" s="2" t="s">
        <v>126</v>
      </c>
      <c r="G402" s="1">
        <f>G291</f>
        <v>0</v>
      </c>
    </row>
    <row r="404" spans="1:7">
      <c r="A404" s="3" t="s">
        <v>134</v>
      </c>
      <c r="B404" s="2" t="s">
        <v>135</v>
      </c>
      <c r="G404" s="1">
        <f>G355</f>
        <v>0</v>
      </c>
    </row>
    <row r="406" spans="1:7">
      <c r="A406" s="3" t="s">
        <v>136</v>
      </c>
      <c r="B406" s="2" t="s">
        <v>166</v>
      </c>
      <c r="G406" s="1">
        <f>G383</f>
        <v>0</v>
      </c>
    </row>
    <row r="408" spans="1:7">
      <c r="A408" s="3" t="s">
        <v>161</v>
      </c>
      <c r="B408" s="2" t="s">
        <v>167</v>
      </c>
      <c r="G408" s="1">
        <f>G389</f>
        <v>0</v>
      </c>
    </row>
    <row r="410" spans="1:7" ht="15.75" thickBot="1">
      <c r="A410" s="90"/>
      <c r="B410" s="91" t="s">
        <v>168</v>
      </c>
      <c r="C410" s="92"/>
      <c r="D410" s="93"/>
      <c r="E410" s="92"/>
      <c r="F410" s="92"/>
      <c r="G410" s="94">
        <f>SUM(G392:G409)</f>
        <v>0</v>
      </c>
    </row>
    <row r="411" spans="1:7" ht="15.75" thickTop="1"/>
  </sheetData>
  <sheetProtection algorithmName="SHA-512" hashValue="MQ63a2Z8kgtdBxxZjj+A1n6RHpnSxtxeByh/dvaPz0RfGd1wRaZOt7Xc4d++Km71BJ4zjCCz9sUy7l3mkDTsRg==" saltValue="HRUCeNE9An00vUO/aGQtkw==" spinCount="100000" sheet="1" objects="1" scenarios="1" selectLockedCells="1"/>
  <mergeCells count="1">
    <mergeCell ref="A2:G2"/>
  </mergeCells>
  <pageMargins left="0.9055118110236221" right="0.51181102362204722" top="0.6692913385826772" bottom="0.55118110236220474" header="0.31496062992125984" footer="0.31496062992125984"/>
  <pageSetup paperSize="9" scale="90"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DA43DBA-438F-49EA-B9E3-3A8E4CA7ED83}">
  <sheetPr>
    <tabColor rgb="FF00B0F0"/>
  </sheetPr>
  <dimension ref="A1:G407"/>
  <sheetViews>
    <sheetView showGridLines="0" view="pageBreakPreview" zoomScaleNormal="100" zoomScaleSheetLayoutView="100" workbookViewId="0">
      <selection activeCell="E11" sqref="E11"/>
    </sheetView>
  </sheetViews>
  <sheetFormatPr defaultRowHeight="15"/>
  <cols>
    <col min="1" max="1" width="10.140625" style="3" customWidth="1"/>
    <col min="2" max="2" width="44" style="2" customWidth="1"/>
    <col min="3" max="3" width="10.85546875" style="1" customWidth="1"/>
    <col min="4" max="4" width="3.5703125" style="28" customWidth="1"/>
    <col min="5" max="5" width="10.140625" style="1" bestFit="1" customWidth="1"/>
    <col min="6" max="6" width="4.140625" style="1" customWidth="1"/>
    <col min="7" max="7" width="12.140625" style="1" customWidth="1"/>
  </cols>
  <sheetData>
    <row r="1" spans="1:7" s="50" customFormat="1" ht="19.5">
      <c r="A1" s="47" t="s">
        <v>361</v>
      </c>
      <c r="C1" s="48"/>
      <c r="D1" s="49"/>
      <c r="E1" s="48"/>
      <c r="F1" s="48"/>
      <c r="G1" s="114" t="s">
        <v>365</v>
      </c>
    </row>
    <row r="2" spans="1:7" ht="15.75" customHeight="1">
      <c r="A2" s="118" t="s">
        <v>366</v>
      </c>
      <c r="B2" s="118"/>
      <c r="C2" s="118"/>
      <c r="D2" s="118"/>
      <c r="E2" s="118"/>
      <c r="F2" s="118"/>
      <c r="G2" s="118"/>
    </row>
    <row r="3" spans="1:7" ht="18.75">
      <c r="A3" s="11"/>
      <c r="B3" s="12"/>
    </row>
    <row r="4" spans="1:7" ht="18.75">
      <c r="A4" s="5" t="s">
        <v>37</v>
      </c>
      <c r="B4" s="12"/>
    </row>
    <row r="5" spans="1:7" ht="18.75">
      <c r="A5" s="5"/>
      <c r="B5" s="12"/>
    </row>
    <row r="6" spans="1:7" ht="18.75">
      <c r="A6" s="5"/>
      <c r="B6" s="12"/>
    </row>
    <row r="18" spans="1:2">
      <c r="A18" s="3" t="s">
        <v>185</v>
      </c>
    </row>
    <row r="21" spans="1:2">
      <c r="A21" s="5" t="s">
        <v>0</v>
      </c>
      <c r="B21" s="6"/>
    </row>
    <row r="23" spans="1:2" ht="75">
      <c r="A23" s="3" t="s">
        <v>1</v>
      </c>
      <c r="B23" s="2" t="s">
        <v>2</v>
      </c>
    </row>
    <row r="24" spans="1:2" ht="45">
      <c r="A24" s="4" t="s">
        <v>3</v>
      </c>
      <c r="B24" s="2" t="s">
        <v>4</v>
      </c>
    </row>
    <row r="25" spans="1:2" ht="60">
      <c r="A25" s="4" t="s">
        <v>1</v>
      </c>
      <c r="B25" s="2" t="s">
        <v>5</v>
      </c>
    </row>
    <row r="26" spans="1:2" ht="90">
      <c r="A26" s="4" t="s">
        <v>1</v>
      </c>
      <c r="B26" s="2" t="s">
        <v>6</v>
      </c>
    </row>
    <row r="27" spans="1:2" ht="90">
      <c r="A27" s="4" t="s">
        <v>1</v>
      </c>
      <c r="B27" s="2" t="s">
        <v>74</v>
      </c>
    </row>
    <row r="28" spans="1:2" ht="75">
      <c r="A28" s="4" t="s">
        <v>1</v>
      </c>
      <c r="B28" s="2" t="s">
        <v>7</v>
      </c>
    </row>
    <row r="29" spans="1:2" ht="120">
      <c r="A29" s="4" t="s">
        <v>1</v>
      </c>
      <c r="B29" s="2" t="s">
        <v>8</v>
      </c>
    </row>
    <row r="30" spans="1:2" ht="75">
      <c r="A30" s="4" t="s">
        <v>1</v>
      </c>
      <c r="B30" s="2" t="s">
        <v>9</v>
      </c>
    </row>
    <row r="31" spans="1:2" ht="45">
      <c r="A31" s="4" t="s">
        <v>1</v>
      </c>
      <c r="B31" s="2" t="s">
        <v>10</v>
      </c>
    </row>
    <row r="32" spans="1:2" ht="45">
      <c r="A32" s="4" t="s">
        <v>1</v>
      </c>
      <c r="B32" s="2" t="s">
        <v>11</v>
      </c>
    </row>
    <row r="33" spans="1:2" ht="75">
      <c r="A33" s="4" t="s">
        <v>1</v>
      </c>
      <c r="B33" s="2" t="s">
        <v>12</v>
      </c>
    </row>
    <row r="34" spans="1:2" ht="75">
      <c r="A34" s="4" t="s">
        <v>1</v>
      </c>
      <c r="B34" s="2" t="s">
        <v>13</v>
      </c>
    </row>
    <row r="35" spans="1:2" ht="30">
      <c r="A35" s="4" t="s">
        <v>1</v>
      </c>
      <c r="B35" s="2" t="s">
        <v>14</v>
      </c>
    </row>
    <row r="36" spans="1:2" ht="60">
      <c r="A36" s="4" t="s">
        <v>1</v>
      </c>
      <c r="B36" s="2" t="s">
        <v>171</v>
      </c>
    </row>
    <row r="37" spans="1:2" ht="105">
      <c r="A37" s="4" t="s">
        <v>1</v>
      </c>
      <c r="B37" s="2" t="s">
        <v>16</v>
      </c>
    </row>
    <row r="39" spans="1:2">
      <c r="A39" s="5" t="s">
        <v>17</v>
      </c>
      <c r="B39" s="6" t="s">
        <v>18</v>
      </c>
    </row>
    <row r="41" spans="1:2" ht="45">
      <c r="A41" s="3" t="s">
        <v>19</v>
      </c>
      <c r="B41" s="7" t="s">
        <v>20</v>
      </c>
    </row>
    <row r="42" spans="1:2" ht="60">
      <c r="B42" s="8" t="s">
        <v>177</v>
      </c>
    </row>
    <row r="43" spans="1:2">
      <c r="B43" s="9" t="s">
        <v>23</v>
      </c>
    </row>
    <row r="44" spans="1:2" ht="30">
      <c r="B44" s="9" t="s">
        <v>24</v>
      </c>
    </row>
    <row r="45" spans="1:2" ht="45">
      <c r="B45" s="9" t="s">
        <v>25</v>
      </c>
    </row>
    <row r="46" spans="1:2" ht="60">
      <c r="B46" s="9" t="s">
        <v>32</v>
      </c>
    </row>
    <row r="47" spans="1:2" ht="45">
      <c r="B47" s="9" t="s">
        <v>33</v>
      </c>
    </row>
    <row r="48" spans="1:2" ht="75">
      <c r="B48" s="9" t="s">
        <v>34</v>
      </c>
    </row>
    <row r="49" spans="1:7" ht="30">
      <c r="B49" s="9" t="s">
        <v>26</v>
      </c>
    </row>
    <row r="50" spans="1:7" ht="30">
      <c r="B50" s="9" t="s">
        <v>27</v>
      </c>
    </row>
    <row r="51" spans="1:7" ht="45">
      <c r="B51" s="9" t="s">
        <v>28</v>
      </c>
    </row>
    <row r="52" spans="1:7" ht="60">
      <c r="B52" s="9" t="s">
        <v>29</v>
      </c>
    </row>
    <row r="53" spans="1:7">
      <c r="B53" s="9" t="s">
        <v>30</v>
      </c>
    </row>
    <row r="54" spans="1:7">
      <c r="B54" s="9" t="s">
        <v>31</v>
      </c>
    </row>
    <row r="56" spans="1:7" ht="30">
      <c r="B56" s="10" t="s">
        <v>35</v>
      </c>
    </row>
    <row r="58" spans="1:7">
      <c r="B58" s="2" t="s">
        <v>36</v>
      </c>
      <c r="C58" s="1">
        <v>1</v>
      </c>
      <c r="E58" s="101">
        <v>0</v>
      </c>
      <c r="G58" s="69">
        <f>C58*E58</f>
        <v>0</v>
      </c>
    </row>
    <row r="59" spans="1:7">
      <c r="E59" s="104"/>
    </row>
    <row r="60" spans="1:7" ht="15.75" thickBot="1">
      <c r="A60" s="73"/>
      <c r="B60" s="74" t="s">
        <v>40</v>
      </c>
      <c r="C60" s="75"/>
      <c r="D60" s="76"/>
      <c r="E60" s="103"/>
      <c r="F60" s="75" t="s">
        <v>41</v>
      </c>
      <c r="G60" s="75">
        <f>SUM(G39:G59)</f>
        <v>0</v>
      </c>
    </row>
    <row r="61" spans="1:7" ht="15.75" thickTop="1">
      <c r="E61" s="104"/>
    </row>
    <row r="62" spans="1:7">
      <c r="A62" s="5" t="s">
        <v>42</v>
      </c>
      <c r="B62" s="6" t="s">
        <v>43</v>
      </c>
      <c r="E62" s="104"/>
    </row>
    <row r="63" spans="1:7">
      <c r="E63" s="104"/>
    </row>
    <row r="64" spans="1:7" ht="45">
      <c r="A64" s="3" t="s">
        <v>19</v>
      </c>
      <c r="B64" s="2" t="s">
        <v>48</v>
      </c>
      <c r="E64" s="104"/>
    </row>
    <row r="65" spans="1:7">
      <c r="E65" s="104"/>
    </row>
    <row r="66" spans="1:7">
      <c r="B66" s="2" t="s">
        <v>45</v>
      </c>
      <c r="C66" s="1">
        <f>(23.6)*16.5*1.05-23.6*1.3-0.19</f>
        <v>378.00000000000006</v>
      </c>
      <c r="E66" s="101">
        <v>0</v>
      </c>
      <c r="G66" s="69">
        <f>C66*E66</f>
        <v>0</v>
      </c>
    </row>
    <row r="67" spans="1:7">
      <c r="E67" s="104"/>
    </row>
    <row r="68" spans="1:7" ht="30">
      <c r="A68" s="3" t="s">
        <v>46</v>
      </c>
      <c r="B68" s="2" t="s">
        <v>49</v>
      </c>
      <c r="E68" s="104"/>
    </row>
    <row r="69" spans="1:7">
      <c r="E69" s="104"/>
    </row>
    <row r="70" spans="1:7">
      <c r="B70" s="2" t="s">
        <v>36</v>
      </c>
      <c r="C70" s="1">
        <v>1</v>
      </c>
      <c r="E70" s="101">
        <v>0</v>
      </c>
      <c r="G70" s="69">
        <f>C70*E70</f>
        <v>0</v>
      </c>
    </row>
    <row r="71" spans="1:7">
      <c r="E71" s="104"/>
    </row>
    <row r="72" spans="1:7" ht="30">
      <c r="A72" s="3" t="s">
        <v>50</v>
      </c>
      <c r="B72" s="2" t="s">
        <v>51</v>
      </c>
      <c r="E72" s="104"/>
    </row>
    <row r="73" spans="1:7">
      <c r="E73" s="104"/>
    </row>
    <row r="74" spans="1:7">
      <c r="B74" s="2" t="s">
        <v>36</v>
      </c>
      <c r="C74" s="1">
        <v>1</v>
      </c>
      <c r="E74" s="101">
        <v>0</v>
      </c>
      <c r="G74" s="69">
        <f>C74*E74</f>
        <v>0</v>
      </c>
    </row>
    <row r="75" spans="1:7">
      <c r="E75" s="104"/>
    </row>
    <row r="76" spans="1:7" ht="30">
      <c r="A76" s="3" t="s">
        <v>52</v>
      </c>
      <c r="B76" s="2" t="s">
        <v>53</v>
      </c>
      <c r="E76" s="104"/>
    </row>
    <row r="77" spans="1:7">
      <c r="E77" s="104"/>
    </row>
    <row r="78" spans="1:7">
      <c r="B78" s="2" t="s">
        <v>36</v>
      </c>
      <c r="C78" s="1">
        <v>1</v>
      </c>
      <c r="E78" s="101">
        <v>0</v>
      </c>
      <c r="G78" s="69">
        <f>C78*E78</f>
        <v>0</v>
      </c>
    </row>
    <row r="79" spans="1:7">
      <c r="E79" s="104"/>
    </row>
    <row r="80" spans="1:7" ht="18.75" customHeight="1">
      <c r="A80" s="3" t="s">
        <v>54</v>
      </c>
      <c r="B80" s="2" t="s">
        <v>55</v>
      </c>
      <c r="E80" s="104"/>
    </row>
    <row r="81" spans="1:7">
      <c r="E81" s="104"/>
    </row>
    <row r="82" spans="1:7">
      <c r="B82" s="2" t="s">
        <v>56</v>
      </c>
      <c r="C82" s="1">
        <f>(23.6)*1.05+0.22</f>
        <v>25</v>
      </c>
      <c r="E82" s="101">
        <v>0</v>
      </c>
      <c r="G82" s="69">
        <f>C82*E82</f>
        <v>0</v>
      </c>
    </row>
    <row r="83" spans="1:7">
      <c r="E83" s="104"/>
    </row>
    <row r="84" spans="1:7" ht="60">
      <c r="A84" s="3" t="s">
        <v>57</v>
      </c>
      <c r="B84" s="10" t="s">
        <v>44</v>
      </c>
      <c r="E84" s="104"/>
    </row>
    <row r="85" spans="1:7">
      <c r="E85" s="104"/>
    </row>
    <row r="86" spans="1:7">
      <c r="B86" s="2" t="s">
        <v>45</v>
      </c>
      <c r="C86" s="1">
        <f>(15*1.7*1.7+16*1.1*1.7)*1.05+0.07</f>
        <v>77.003500000000003</v>
      </c>
      <c r="E86" s="101">
        <v>0</v>
      </c>
      <c r="G86" s="69">
        <f>C86*E86</f>
        <v>0</v>
      </c>
    </row>
    <row r="87" spans="1:7">
      <c r="E87" s="104"/>
    </row>
    <row r="88" spans="1:7" ht="45">
      <c r="A88" s="3" t="s">
        <v>58</v>
      </c>
      <c r="B88" s="2" t="s">
        <v>60</v>
      </c>
      <c r="E88" s="104"/>
    </row>
    <row r="89" spans="1:7">
      <c r="E89" s="104"/>
    </row>
    <row r="90" spans="1:7">
      <c r="B90" s="2" t="s">
        <v>59</v>
      </c>
      <c r="C90" s="1">
        <v>1</v>
      </c>
      <c r="E90" s="101">
        <v>0</v>
      </c>
      <c r="G90" s="69">
        <f>C90*E90</f>
        <v>0</v>
      </c>
    </row>
    <row r="91" spans="1:7">
      <c r="E91" s="104"/>
    </row>
    <row r="92" spans="1:7" ht="30">
      <c r="A92" s="3" t="s">
        <v>61</v>
      </c>
      <c r="B92" s="2" t="s">
        <v>62</v>
      </c>
      <c r="E92" s="104"/>
    </row>
    <row r="93" spans="1:7">
      <c r="E93" s="104"/>
    </row>
    <row r="94" spans="1:7">
      <c r="B94" s="2" t="s">
        <v>63</v>
      </c>
      <c r="C94" s="1">
        <v>1</v>
      </c>
      <c r="E94" s="101">
        <v>0</v>
      </c>
      <c r="G94" s="69">
        <f>C94*E94</f>
        <v>0</v>
      </c>
    </row>
    <row r="95" spans="1:7">
      <c r="E95" s="104"/>
    </row>
    <row r="96" spans="1:7" ht="105">
      <c r="A96" s="3" t="s">
        <v>64</v>
      </c>
      <c r="B96" s="17" t="s">
        <v>65</v>
      </c>
      <c r="E96" s="104"/>
    </row>
    <row r="97" spans="1:7">
      <c r="E97" s="104"/>
    </row>
    <row r="98" spans="1:7">
      <c r="B98" s="2" t="s">
        <v>56</v>
      </c>
      <c r="C98" s="1">
        <f>(23.6)*1.05+0.22</f>
        <v>25</v>
      </c>
      <c r="E98" s="101">
        <v>0</v>
      </c>
      <c r="G98" s="69">
        <f>C98*E98</f>
        <v>0</v>
      </c>
    </row>
    <row r="99" spans="1:7" ht="75">
      <c r="A99" s="3" t="s">
        <v>66</v>
      </c>
      <c r="B99" s="2" t="s">
        <v>67</v>
      </c>
      <c r="E99" s="104"/>
    </row>
    <row r="100" spans="1:7">
      <c r="E100" s="104"/>
    </row>
    <row r="101" spans="1:7">
      <c r="B101" s="2" t="s">
        <v>59</v>
      </c>
      <c r="C101" s="1">
        <f>'Poljanski nasip 12-dvoriščna'!C102</f>
        <v>123</v>
      </c>
      <c r="E101" s="101">
        <v>0</v>
      </c>
      <c r="G101" s="69">
        <f>C101*E101</f>
        <v>0</v>
      </c>
    </row>
    <row r="102" spans="1:7">
      <c r="E102" s="104"/>
    </row>
    <row r="103" spans="1:7" ht="45">
      <c r="A103" s="3" t="s">
        <v>68</v>
      </c>
      <c r="B103" s="2" t="s">
        <v>47</v>
      </c>
      <c r="E103" s="104"/>
    </row>
    <row r="104" spans="1:7">
      <c r="E104" s="104"/>
    </row>
    <row r="105" spans="1:7">
      <c r="B105" s="2" t="s">
        <v>45</v>
      </c>
      <c r="C105" s="1">
        <f>(23.6*15.2+18)*1.05+0.44</f>
        <v>395.99600000000004</v>
      </c>
      <c r="E105" s="101">
        <v>0</v>
      </c>
      <c r="G105" s="69">
        <f>C105*E105</f>
        <v>0</v>
      </c>
    </row>
    <row r="106" spans="1:7">
      <c r="E106" s="104"/>
    </row>
    <row r="107" spans="1:7" ht="105">
      <c r="A107" s="3" t="s">
        <v>69</v>
      </c>
      <c r="B107" s="2" t="s">
        <v>72</v>
      </c>
      <c r="E107" s="104"/>
    </row>
    <row r="108" spans="1:7">
      <c r="E108" s="104"/>
    </row>
    <row r="109" spans="1:7">
      <c r="B109" s="2" t="s">
        <v>45</v>
      </c>
      <c r="C109" s="1">
        <f>C105*0.6</f>
        <v>237.5976</v>
      </c>
      <c r="E109" s="101">
        <v>0</v>
      </c>
      <c r="G109" s="69">
        <f>C109*E109</f>
        <v>0</v>
      </c>
    </row>
    <row r="110" spans="1:7">
      <c r="E110" s="104"/>
    </row>
    <row r="111" spans="1:7" ht="105" customHeight="1">
      <c r="A111" s="3" t="s">
        <v>70</v>
      </c>
      <c r="B111" s="2" t="s">
        <v>187</v>
      </c>
      <c r="E111" s="104"/>
    </row>
    <row r="112" spans="1:7">
      <c r="E112" s="104"/>
    </row>
    <row r="113" spans="1:7">
      <c r="B113" s="2" t="s">
        <v>45</v>
      </c>
      <c r="C113" s="1">
        <f>C105</f>
        <v>395.99600000000004</v>
      </c>
      <c r="E113" s="101">
        <v>0</v>
      </c>
      <c r="G113" s="69">
        <f>C113*E113</f>
        <v>0</v>
      </c>
    </row>
    <row r="114" spans="1:7">
      <c r="E114" s="104"/>
    </row>
    <row r="115" spans="1:7" ht="75">
      <c r="A115" s="3" t="s">
        <v>73</v>
      </c>
      <c r="B115" s="2" t="s">
        <v>75</v>
      </c>
      <c r="E115" s="104"/>
    </row>
    <row r="116" spans="1:7">
      <c r="E116" s="104"/>
    </row>
    <row r="117" spans="1:7">
      <c r="B117" s="2" t="s">
        <v>45</v>
      </c>
      <c r="C117" s="1">
        <f>C109</f>
        <v>237.5976</v>
      </c>
      <c r="E117" s="101">
        <v>0</v>
      </c>
      <c r="G117" s="69">
        <f>C117*E117</f>
        <v>0</v>
      </c>
    </row>
    <row r="118" spans="1:7">
      <c r="E118" s="104"/>
    </row>
    <row r="119" spans="1:7" ht="60">
      <c r="A119" s="3" t="s">
        <v>76</v>
      </c>
      <c r="B119" s="2" t="s">
        <v>83</v>
      </c>
      <c r="E119" s="104"/>
    </row>
    <row r="120" spans="1:7">
      <c r="E120" s="104"/>
    </row>
    <row r="121" spans="1:7">
      <c r="B121" s="2" t="s">
        <v>45</v>
      </c>
      <c r="C121" s="1">
        <f>C113</f>
        <v>395.99600000000004</v>
      </c>
      <c r="E121" s="101">
        <v>0</v>
      </c>
      <c r="G121" s="69">
        <f>C121*E121</f>
        <v>0</v>
      </c>
    </row>
    <row r="122" spans="1:7">
      <c r="E122" s="104"/>
    </row>
    <row r="123" spans="1:7" ht="45">
      <c r="A123" s="3" t="s">
        <v>77</v>
      </c>
      <c r="B123" s="2" t="s">
        <v>90</v>
      </c>
      <c r="E123" s="104"/>
    </row>
    <row r="124" spans="1:7">
      <c r="E124" s="104"/>
    </row>
    <row r="125" spans="1:7">
      <c r="B125" s="2" t="s">
        <v>45</v>
      </c>
      <c r="C125" s="1">
        <f>C113</f>
        <v>395.99600000000004</v>
      </c>
      <c r="E125" s="101">
        <v>0</v>
      </c>
      <c r="G125" s="69">
        <f>C125*E125</f>
        <v>0</v>
      </c>
    </row>
    <row r="126" spans="1:7">
      <c r="E126" s="104"/>
    </row>
    <row r="127" spans="1:7" ht="45">
      <c r="A127" s="3" t="s">
        <v>78</v>
      </c>
      <c r="B127" s="2" t="s">
        <v>89</v>
      </c>
      <c r="E127" s="104"/>
    </row>
    <row r="128" spans="1:7">
      <c r="E128" s="104"/>
    </row>
    <row r="129" spans="1:7">
      <c r="B129" s="2" t="s">
        <v>45</v>
      </c>
      <c r="C129" s="1">
        <f>C98</f>
        <v>25</v>
      </c>
      <c r="E129" s="101">
        <v>0</v>
      </c>
      <c r="G129" s="69">
        <f>C129*E129</f>
        <v>0</v>
      </c>
    </row>
    <row r="130" spans="1:7">
      <c r="E130" s="104"/>
    </row>
    <row r="131" spans="1:7" ht="75">
      <c r="A131" s="3" t="s">
        <v>80</v>
      </c>
      <c r="B131" s="2" t="s">
        <v>81</v>
      </c>
      <c r="E131" s="104"/>
    </row>
    <row r="132" spans="1:7" ht="12.75" customHeight="1">
      <c r="E132" s="104"/>
    </row>
    <row r="133" spans="1:7">
      <c r="B133" s="2" t="s">
        <v>56</v>
      </c>
      <c r="C133" s="1">
        <f>(23.6)*5</f>
        <v>118</v>
      </c>
      <c r="E133" s="101">
        <v>0</v>
      </c>
      <c r="G133" s="69">
        <f>C133*E133</f>
        <v>0</v>
      </c>
    </row>
    <row r="134" spans="1:7">
      <c r="E134" s="104"/>
    </row>
    <row r="135" spans="1:7" ht="45.75" customHeight="1">
      <c r="A135" s="3" t="s">
        <v>82</v>
      </c>
      <c r="B135" s="2" t="s">
        <v>79</v>
      </c>
      <c r="E135" s="104"/>
    </row>
    <row r="136" spans="1:7" ht="7.5" customHeight="1">
      <c r="E136" s="104"/>
    </row>
    <row r="137" spans="1:7">
      <c r="E137" s="104"/>
    </row>
    <row r="138" spans="1:7">
      <c r="E138" s="104"/>
    </row>
    <row r="139" spans="1:7">
      <c r="E139" s="104"/>
    </row>
    <row r="140" spans="1:7">
      <c r="E140" s="104"/>
    </row>
    <row r="141" spans="1:7">
      <c r="E141" s="104"/>
    </row>
    <row r="142" spans="1:7">
      <c r="E142" s="104"/>
    </row>
    <row r="143" spans="1:7">
      <c r="E143" s="104"/>
    </row>
    <row r="144" spans="1:7">
      <c r="E144" s="104"/>
    </row>
    <row r="145" spans="1:7">
      <c r="E145" s="104"/>
    </row>
    <row r="146" spans="1:7">
      <c r="E146" s="104"/>
    </row>
    <row r="147" spans="1:7">
      <c r="E147" s="104"/>
    </row>
    <row r="148" spans="1:7">
      <c r="E148" s="104"/>
    </row>
    <row r="149" spans="1:7">
      <c r="E149" s="104"/>
    </row>
    <row r="150" spans="1:7" ht="8.25" customHeight="1">
      <c r="E150" s="104"/>
    </row>
    <row r="151" spans="1:7">
      <c r="B151" s="2" t="s">
        <v>56</v>
      </c>
      <c r="C151" s="1">
        <f>C129</f>
        <v>25</v>
      </c>
      <c r="E151" s="101">
        <v>0</v>
      </c>
      <c r="G151" s="69">
        <f>C151*E151</f>
        <v>0</v>
      </c>
    </row>
    <row r="152" spans="1:7">
      <c r="E152" s="104"/>
    </row>
    <row r="153" spans="1:7" ht="45">
      <c r="A153" s="3" t="s">
        <v>84</v>
      </c>
      <c r="B153" s="2" t="s">
        <v>101</v>
      </c>
      <c r="E153" s="104"/>
    </row>
    <row r="154" spans="1:7">
      <c r="E154" s="104"/>
    </row>
    <row r="155" spans="1:7">
      <c r="E155" s="104"/>
    </row>
    <row r="156" spans="1:7">
      <c r="E156" s="104"/>
    </row>
    <row r="157" spans="1:7">
      <c r="E157" s="104"/>
    </row>
    <row r="158" spans="1:7">
      <c r="E158" s="104"/>
    </row>
    <row r="159" spans="1:7">
      <c r="E159" s="104"/>
    </row>
    <row r="160" spans="1:7">
      <c r="E160" s="104"/>
    </row>
    <row r="161" spans="1:7">
      <c r="E161" s="104"/>
    </row>
    <row r="162" spans="1:7">
      <c r="E162" s="104"/>
    </row>
    <row r="163" spans="1:7">
      <c r="E163" s="104"/>
    </row>
    <row r="164" spans="1:7">
      <c r="E164" s="104"/>
    </row>
    <row r="165" spans="1:7">
      <c r="E165" s="104"/>
    </row>
    <row r="166" spans="1:7">
      <c r="E166" s="104"/>
    </row>
    <row r="167" spans="1:7">
      <c r="E167" s="104"/>
    </row>
    <row r="168" spans="1:7">
      <c r="E168" s="104"/>
    </row>
    <row r="169" spans="1:7">
      <c r="B169" s="2" t="s">
        <v>56</v>
      </c>
      <c r="C169" s="1">
        <f>C151</f>
        <v>25</v>
      </c>
      <c r="E169" s="101">
        <v>0</v>
      </c>
      <c r="G169" s="69">
        <f>C169*E169</f>
        <v>0</v>
      </c>
    </row>
    <row r="170" spans="1:7">
      <c r="E170" s="104"/>
    </row>
    <row r="171" spans="1:7" ht="60" customHeight="1">
      <c r="A171" s="3" t="s">
        <v>85</v>
      </c>
      <c r="B171" s="2" t="s">
        <v>87</v>
      </c>
      <c r="E171" s="104"/>
    </row>
    <row r="172" spans="1:7" ht="10.5" customHeight="1">
      <c r="E172" s="104"/>
    </row>
    <row r="173" spans="1:7">
      <c r="B173" s="2" t="s">
        <v>56</v>
      </c>
      <c r="C173" s="1">
        <f>(23*1.9+8*1.9+12*2.2+6*2*2.5+9*1.9+18*1.3)*0.33+0.59</f>
        <v>52.004000000000012</v>
      </c>
      <c r="E173" s="101">
        <v>0</v>
      </c>
      <c r="G173" s="69">
        <f>C173*E173</f>
        <v>0</v>
      </c>
    </row>
    <row r="174" spans="1:7">
      <c r="E174" s="104"/>
    </row>
    <row r="175" spans="1:7" ht="30">
      <c r="A175" s="3" t="s">
        <v>86</v>
      </c>
      <c r="B175" s="2" t="s">
        <v>179</v>
      </c>
      <c r="E175" s="104"/>
    </row>
    <row r="176" spans="1:7" ht="6" customHeight="1">
      <c r="E176" s="104"/>
    </row>
    <row r="177" spans="1:7">
      <c r="E177" s="104"/>
    </row>
    <row r="178" spans="1:7">
      <c r="E178" s="104"/>
    </row>
    <row r="179" spans="1:7">
      <c r="E179" s="104"/>
    </row>
    <row r="180" spans="1:7">
      <c r="E180" s="104"/>
    </row>
    <row r="181" spans="1:7">
      <c r="E181" s="104"/>
    </row>
    <row r="182" spans="1:7">
      <c r="E182" s="104"/>
    </row>
    <row r="183" spans="1:7">
      <c r="E183" s="104"/>
    </row>
    <row r="184" spans="1:7">
      <c r="E184" s="104"/>
    </row>
    <row r="185" spans="1:7">
      <c r="E185" s="104"/>
    </row>
    <row r="186" spans="1:7">
      <c r="E186" s="104"/>
    </row>
    <row r="187" spans="1:7">
      <c r="E187" s="104"/>
    </row>
    <row r="188" spans="1:7" ht="11.25" customHeight="1">
      <c r="E188" s="104"/>
    </row>
    <row r="189" spans="1:7">
      <c r="B189" s="2" t="s">
        <v>45</v>
      </c>
      <c r="C189" s="1">
        <f>2*15.2*2*3.14*0.5*0.25+0.14</f>
        <v>24.004000000000001</v>
      </c>
      <c r="E189" s="101">
        <v>0</v>
      </c>
      <c r="G189" s="69">
        <f>C189*E189</f>
        <v>0</v>
      </c>
    </row>
    <row r="190" spans="1:7">
      <c r="E190" s="104"/>
    </row>
    <row r="191" spans="1:7" ht="45">
      <c r="A191" s="3" t="s">
        <v>91</v>
      </c>
      <c r="B191" s="2" t="s">
        <v>88</v>
      </c>
      <c r="E191" s="104"/>
    </row>
    <row r="192" spans="1:7" ht="11.25" customHeight="1">
      <c r="E192" s="104"/>
    </row>
    <row r="193" spans="1:7">
      <c r="B193" s="2" t="s">
        <v>56</v>
      </c>
      <c r="C193" s="1">
        <f>C133+C151</f>
        <v>143</v>
      </c>
      <c r="E193" s="101">
        <v>0</v>
      </c>
      <c r="G193" s="69">
        <f>C193*E193</f>
        <v>0</v>
      </c>
    </row>
    <row r="194" spans="1:7">
      <c r="E194" s="104"/>
    </row>
    <row r="195" spans="1:7" ht="30">
      <c r="A195" s="3" t="s">
        <v>92</v>
      </c>
      <c r="B195" s="2" t="s">
        <v>102</v>
      </c>
      <c r="E195" s="104"/>
    </row>
    <row r="196" spans="1:7" ht="9" customHeight="1">
      <c r="E196" s="104"/>
    </row>
    <row r="197" spans="1:7">
      <c r="B197" s="2" t="s">
        <v>56</v>
      </c>
      <c r="C197" s="1">
        <f>C169</f>
        <v>25</v>
      </c>
      <c r="E197" s="101">
        <v>0</v>
      </c>
      <c r="G197" s="69">
        <f>C197*E197</f>
        <v>0</v>
      </c>
    </row>
    <row r="198" spans="1:7">
      <c r="E198" s="104"/>
    </row>
    <row r="199" spans="1:7">
      <c r="A199" s="3" t="s">
        <v>93</v>
      </c>
      <c r="B199" s="2" t="s">
        <v>103</v>
      </c>
      <c r="E199" s="104"/>
    </row>
    <row r="200" spans="1:7" ht="7.5" customHeight="1">
      <c r="E200" s="104"/>
    </row>
    <row r="201" spans="1:7">
      <c r="B201" s="2" t="s">
        <v>56</v>
      </c>
      <c r="C201" s="1">
        <f>C173</f>
        <v>52.004000000000012</v>
      </c>
      <c r="E201" s="101">
        <v>0</v>
      </c>
      <c r="G201" s="69">
        <f>C201*E201</f>
        <v>0</v>
      </c>
    </row>
    <row r="202" spans="1:7">
      <c r="E202" s="104"/>
    </row>
    <row r="203" spans="1:7" ht="60" customHeight="1">
      <c r="A203" s="3" t="s">
        <v>95</v>
      </c>
      <c r="B203" s="2" t="s">
        <v>94</v>
      </c>
      <c r="E203" s="104"/>
    </row>
    <row r="204" spans="1:7" ht="11.25" customHeight="1">
      <c r="E204" s="104"/>
    </row>
    <row r="205" spans="1:7">
      <c r="B205" s="2" t="s">
        <v>63</v>
      </c>
      <c r="C205" s="1">
        <v>1</v>
      </c>
      <c r="E205" s="101">
        <v>0</v>
      </c>
      <c r="G205" s="69">
        <f>C205*E205</f>
        <v>0</v>
      </c>
    </row>
    <row r="206" spans="1:7">
      <c r="E206" s="104"/>
    </row>
    <row r="207" spans="1:7" ht="45">
      <c r="A207" s="3" t="s">
        <v>98</v>
      </c>
      <c r="B207" s="2" t="s">
        <v>96</v>
      </c>
      <c r="E207" s="104"/>
    </row>
    <row r="208" spans="1:7" ht="13.5" customHeight="1">
      <c r="E208" s="104"/>
    </row>
    <row r="209" spans="1:7">
      <c r="B209" s="2" t="s">
        <v>97</v>
      </c>
      <c r="C209" s="1">
        <f>C105*0.01*1.25+C117*0.03*1.25</f>
        <v>13.859860000000001</v>
      </c>
      <c r="E209" s="101">
        <v>0</v>
      </c>
      <c r="G209" s="69">
        <f>C209*E209</f>
        <v>0</v>
      </c>
    </row>
    <row r="210" spans="1:7">
      <c r="E210" s="104"/>
    </row>
    <row r="211" spans="1:7" ht="45">
      <c r="A211" s="3" t="s">
        <v>104</v>
      </c>
      <c r="B211" s="2" t="s">
        <v>99</v>
      </c>
      <c r="E211" s="104"/>
    </row>
    <row r="212" spans="1:7">
      <c r="E212" s="104"/>
    </row>
    <row r="213" spans="1:7">
      <c r="B213" s="2" t="s">
        <v>63</v>
      </c>
      <c r="C213" s="1">
        <v>1</v>
      </c>
      <c r="E213" s="101">
        <v>0</v>
      </c>
      <c r="G213" s="69">
        <f>C213*E213</f>
        <v>0</v>
      </c>
    </row>
    <row r="214" spans="1:7">
      <c r="E214" s="104"/>
    </row>
    <row r="215" spans="1:7" ht="15.75" thickBot="1">
      <c r="A215" s="79"/>
      <c r="B215" s="74" t="s">
        <v>100</v>
      </c>
      <c r="C215" s="75"/>
      <c r="D215" s="76"/>
      <c r="E215" s="103"/>
      <c r="F215" s="75" t="s">
        <v>41</v>
      </c>
      <c r="G215" s="75">
        <f>SUM(G62:G214)</f>
        <v>0</v>
      </c>
    </row>
    <row r="216" spans="1:7" ht="15.75" thickTop="1">
      <c r="E216" s="104"/>
    </row>
    <row r="217" spans="1:7">
      <c r="A217" s="5" t="s">
        <v>105</v>
      </c>
      <c r="B217" s="6" t="s">
        <v>106</v>
      </c>
      <c r="E217" s="104"/>
    </row>
    <row r="218" spans="1:7">
      <c r="E218" s="104"/>
    </row>
    <row r="219" spans="1:7" ht="105">
      <c r="A219" s="3" t="s">
        <v>19</v>
      </c>
      <c r="B219" s="22" t="s">
        <v>107</v>
      </c>
      <c r="E219" s="104"/>
    </row>
    <row r="220" spans="1:7">
      <c r="E220" s="104"/>
    </row>
    <row r="221" spans="1:7">
      <c r="B221" s="2" t="s">
        <v>63</v>
      </c>
      <c r="C221" s="1">
        <v>1</v>
      </c>
      <c r="E221" s="104">
        <v>0</v>
      </c>
      <c r="G221" s="1">
        <f>C221*E221</f>
        <v>0</v>
      </c>
    </row>
    <row r="222" spans="1:7">
      <c r="E222" s="104"/>
    </row>
    <row r="223" spans="1:7" ht="15.75" thickBot="1">
      <c r="A223" s="79"/>
      <c r="B223" s="74" t="s">
        <v>108</v>
      </c>
      <c r="C223" s="75"/>
      <c r="D223" s="76"/>
      <c r="E223" s="103"/>
      <c r="F223" s="75" t="s">
        <v>41</v>
      </c>
      <c r="G223" s="75">
        <f>SUM(G217:G222)</f>
        <v>0</v>
      </c>
    </row>
    <row r="224" spans="1:7" ht="15.75" thickTop="1">
      <c r="E224" s="104"/>
    </row>
    <row r="225" spans="1:7">
      <c r="A225" s="5" t="s">
        <v>109</v>
      </c>
      <c r="B225" s="6" t="s">
        <v>110</v>
      </c>
      <c r="E225" s="104"/>
    </row>
    <row r="226" spans="1:7">
      <c r="A226" s="5"/>
      <c r="B226" s="6"/>
      <c r="E226" s="104"/>
    </row>
    <row r="227" spans="1:7" ht="105">
      <c r="A227" s="23" t="s">
        <v>111</v>
      </c>
      <c r="B227" s="24" t="s">
        <v>112</v>
      </c>
      <c r="E227" s="104"/>
    </row>
    <row r="228" spans="1:7">
      <c r="A228" s="5"/>
      <c r="B228" s="6"/>
      <c r="E228" s="104"/>
    </row>
    <row r="229" spans="1:7" ht="60">
      <c r="A229" s="3" t="s">
        <v>19</v>
      </c>
      <c r="B229" s="2" t="s">
        <v>113</v>
      </c>
      <c r="E229" s="104"/>
    </row>
    <row r="230" spans="1:7">
      <c r="E230" s="104"/>
    </row>
    <row r="231" spans="1:7">
      <c r="A231" s="3" t="s">
        <v>114</v>
      </c>
      <c r="B231" s="2" t="s">
        <v>118</v>
      </c>
      <c r="C231" s="1">
        <f>(((35.8+12.6+23.6)*4+12*2.1+15*1.9+6*1.9+6*1.9+9*1.9+12*1.3)*1.05+1.94)*0.33-0.27</f>
        <v>138</v>
      </c>
      <c r="E231" s="101">
        <v>0</v>
      </c>
      <c r="G231" s="69">
        <f>C231*E231</f>
        <v>0</v>
      </c>
    </row>
    <row r="232" spans="1:7">
      <c r="E232" s="104"/>
    </row>
    <row r="233" spans="1:7">
      <c r="A233" s="3" t="s">
        <v>115</v>
      </c>
      <c r="B233" s="2" t="s">
        <v>119</v>
      </c>
      <c r="C233" s="1">
        <f>C197</f>
        <v>25</v>
      </c>
      <c r="E233" s="101">
        <v>0</v>
      </c>
      <c r="G233" s="69">
        <f>C233*E233</f>
        <v>0</v>
      </c>
    </row>
    <row r="234" spans="1:7">
      <c r="E234" s="104"/>
    </row>
    <row r="235" spans="1:7">
      <c r="A235" s="3" t="s">
        <v>116</v>
      </c>
      <c r="B235" s="2" t="s">
        <v>120</v>
      </c>
      <c r="C235" s="1">
        <v>0</v>
      </c>
      <c r="E235" s="101">
        <v>0</v>
      </c>
      <c r="G235" s="69">
        <f>C235*E235</f>
        <v>0</v>
      </c>
    </row>
    <row r="236" spans="1:7">
      <c r="E236" s="104"/>
    </row>
    <row r="237" spans="1:7" ht="60">
      <c r="A237" s="3" t="s">
        <v>46</v>
      </c>
      <c r="B237" s="2" t="s">
        <v>132</v>
      </c>
      <c r="E237" s="104"/>
    </row>
    <row r="238" spans="1:7">
      <c r="E238" s="104"/>
    </row>
    <row r="239" spans="1:7">
      <c r="B239" s="2" t="s">
        <v>56</v>
      </c>
      <c r="C239" s="1">
        <f>(2*15.2+2*1)*1.05-0.02</f>
        <v>34</v>
      </c>
      <c r="E239" s="101">
        <v>0</v>
      </c>
      <c r="G239" s="69">
        <f>C239*E239</f>
        <v>0</v>
      </c>
    </row>
    <row r="240" spans="1:7">
      <c r="E240" s="104"/>
    </row>
    <row r="241" spans="1:7">
      <c r="A241" s="3" t="s">
        <v>50</v>
      </c>
      <c r="B241" s="2" t="s">
        <v>117</v>
      </c>
      <c r="E241" s="104"/>
    </row>
    <row r="242" spans="1:7">
      <c r="E242" s="104"/>
    </row>
    <row r="243" spans="1:7">
      <c r="A243" s="3" t="s">
        <v>114</v>
      </c>
      <c r="B243" s="2" t="s">
        <v>118</v>
      </c>
      <c r="C243" s="1">
        <f>C231</f>
        <v>138</v>
      </c>
      <c r="E243" s="101">
        <v>0</v>
      </c>
      <c r="G243" s="69">
        <f>C243*E243</f>
        <v>0</v>
      </c>
    </row>
    <row r="244" spans="1:7">
      <c r="E244" s="104"/>
    </row>
    <row r="245" spans="1:7">
      <c r="A245" s="3" t="s">
        <v>115</v>
      </c>
      <c r="B245" s="2" t="s">
        <v>119</v>
      </c>
      <c r="C245" s="1">
        <f>C233</f>
        <v>25</v>
      </c>
      <c r="E245" s="101">
        <v>0</v>
      </c>
      <c r="G245" s="69">
        <f>C245*E245</f>
        <v>0</v>
      </c>
    </row>
    <row r="246" spans="1:7">
      <c r="E246" s="104"/>
    </row>
    <row r="247" spans="1:7">
      <c r="A247" s="3" t="s">
        <v>116</v>
      </c>
      <c r="B247" s="2" t="s">
        <v>120</v>
      </c>
      <c r="C247" s="1">
        <f>C235</f>
        <v>0</v>
      </c>
      <c r="E247" s="101">
        <v>0</v>
      </c>
      <c r="G247" s="69">
        <f>C247*E247</f>
        <v>0</v>
      </c>
    </row>
    <row r="248" spans="1:7">
      <c r="E248" s="104"/>
    </row>
    <row r="249" spans="1:7" ht="45">
      <c r="A249" s="3" t="s">
        <v>52</v>
      </c>
      <c r="B249" s="2" t="s">
        <v>121</v>
      </c>
      <c r="E249" s="104"/>
    </row>
    <row r="250" spans="1:7">
      <c r="E250" s="104"/>
    </row>
    <row r="251" spans="1:7">
      <c r="B251" s="2" t="s">
        <v>45</v>
      </c>
      <c r="C251" s="1">
        <f>(3*0.6)*1.05+0.03-0.02</f>
        <v>1.9</v>
      </c>
      <c r="E251" s="101">
        <v>0</v>
      </c>
      <c r="G251" s="69">
        <f>C251*E251</f>
        <v>0</v>
      </c>
    </row>
    <row r="252" spans="1:7">
      <c r="E252" s="104"/>
    </row>
    <row r="253" spans="1:7" ht="45">
      <c r="A253" s="3" t="s">
        <v>54</v>
      </c>
      <c r="B253" s="2" t="s">
        <v>133</v>
      </c>
      <c r="E253" s="104"/>
    </row>
    <row r="254" spans="1:7">
      <c r="E254" s="104"/>
    </row>
    <row r="255" spans="1:7">
      <c r="B255" s="2" t="s">
        <v>56</v>
      </c>
      <c r="C255" s="1">
        <f>23.6+2*1+0.6-0.2</f>
        <v>26.000000000000004</v>
      </c>
      <c r="E255" s="101">
        <v>0</v>
      </c>
      <c r="G255" s="69">
        <f>C255*E255</f>
        <v>0</v>
      </c>
    </row>
    <row r="256" spans="1:7">
      <c r="E256" s="104"/>
    </row>
    <row r="257" spans="1:7" ht="30">
      <c r="A257" s="3" t="s">
        <v>57</v>
      </c>
      <c r="B257" s="2" t="s">
        <v>122</v>
      </c>
      <c r="E257" s="104"/>
    </row>
    <row r="258" spans="1:7">
      <c r="E258" s="104"/>
    </row>
    <row r="259" spans="1:7">
      <c r="B259" s="2" t="s">
        <v>59</v>
      </c>
      <c r="C259" s="1">
        <v>2</v>
      </c>
      <c r="E259" s="101">
        <v>0</v>
      </c>
      <c r="G259" s="69">
        <f>C259*E259</f>
        <v>0</v>
      </c>
    </row>
    <row r="260" spans="1:7">
      <c r="E260" s="104"/>
    </row>
    <row r="261" spans="1:7" ht="60">
      <c r="A261" s="3" t="s">
        <v>58</v>
      </c>
      <c r="B261" s="2" t="s">
        <v>123</v>
      </c>
      <c r="E261" s="104"/>
    </row>
    <row r="262" spans="1:7">
      <c r="E262" s="104"/>
    </row>
    <row r="263" spans="1:7">
      <c r="B263" s="2" t="s">
        <v>56</v>
      </c>
      <c r="C263" s="1">
        <f>(C243+C245+C247)</f>
        <v>163</v>
      </c>
      <c r="E263" s="104">
        <v>0</v>
      </c>
      <c r="G263" s="1">
        <f t="shared" ref="G263" si="0">C263*E263</f>
        <v>0</v>
      </c>
    </row>
    <row r="264" spans="1:7">
      <c r="E264" s="104"/>
    </row>
    <row r="265" spans="1:7" ht="15.75" thickBot="1">
      <c r="A265" s="79"/>
      <c r="B265" s="74" t="s">
        <v>124</v>
      </c>
      <c r="C265" s="75"/>
      <c r="D265" s="76"/>
      <c r="E265" s="103"/>
      <c r="F265" s="75" t="s">
        <v>41</v>
      </c>
      <c r="G265" s="75">
        <f>SUM(G225:G264)</f>
        <v>0</v>
      </c>
    </row>
    <row r="266" spans="1:7" ht="15.75" thickTop="1">
      <c r="E266" s="104"/>
    </row>
    <row r="267" spans="1:7">
      <c r="A267" s="5" t="s">
        <v>125</v>
      </c>
      <c r="B267" s="6" t="s">
        <v>126</v>
      </c>
      <c r="C267" s="25"/>
      <c r="D267" s="30"/>
      <c r="E267" s="105"/>
      <c r="F267" s="25"/>
      <c r="G267" s="25"/>
    </row>
    <row r="268" spans="1:7">
      <c r="E268" s="104"/>
    </row>
    <row r="269" spans="1:7" ht="45">
      <c r="A269" s="3" t="s">
        <v>19</v>
      </c>
      <c r="B269" s="2" t="s">
        <v>127</v>
      </c>
      <c r="E269" s="104"/>
    </row>
    <row r="270" spans="1:7">
      <c r="E270" s="104"/>
    </row>
    <row r="271" spans="1:7">
      <c r="B271" s="2" t="s">
        <v>59</v>
      </c>
      <c r="C271" s="1">
        <v>1</v>
      </c>
      <c r="E271" s="101">
        <v>0</v>
      </c>
      <c r="G271" s="69">
        <f>C271*E271</f>
        <v>0</v>
      </c>
    </row>
    <row r="272" spans="1:7">
      <c r="E272" s="104"/>
    </row>
    <row r="273" spans="1:7" ht="60">
      <c r="A273" s="3" t="s">
        <v>46</v>
      </c>
      <c r="B273" s="2" t="s">
        <v>128</v>
      </c>
      <c r="E273" s="104"/>
    </row>
    <row r="274" spans="1:7">
      <c r="E274" s="104"/>
    </row>
    <row r="275" spans="1:7">
      <c r="E275" s="104"/>
    </row>
    <row r="276" spans="1:7">
      <c r="E276" s="104"/>
    </row>
    <row r="277" spans="1:7">
      <c r="E277" s="104"/>
    </row>
    <row r="278" spans="1:7">
      <c r="E278" s="104"/>
    </row>
    <row r="279" spans="1:7">
      <c r="E279" s="104"/>
    </row>
    <row r="280" spans="1:7">
      <c r="E280" s="104"/>
    </row>
    <row r="281" spans="1:7">
      <c r="E281" s="104"/>
    </row>
    <row r="282" spans="1:7">
      <c r="E282" s="104"/>
    </row>
    <row r="283" spans="1:7">
      <c r="E283" s="104"/>
    </row>
    <row r="284" spans="1:7">
      <c r="E284" s="104"/>
    </row>
    <row r="285" spans="1:7">
      <c r="E285" s="104"/>
    </row>
    <row r="286" spans="1:7">
      <c r="B286" s="2" t="s">
        <v>131</v>
      </c>
      <c r="D286" s="1" t="s">
        <v>172</v>
      </c>
      <c r="E286" s="104"/>
    </row>
    <row r="287" spans="1:7">
      <c r="E287" s="104"/>
    </row>
    <row r="288" spans="1:7">
      <c r="B288" s="2" t="s">
        <v>59</v>
      </c>
      <c r="C288" s="1">
        <v>7</v>
      </c>
      <c r="E288" s="101">
        <v>0</v>
      </c>
      <c r="G288" s="69">
        <f>C288*E288</f>
        <v>0</v>
      </c>
    </row>
    <row r="289" spans="1:7">
      <c r="E289" s="104"/>
    </row>
    <row r="290" spans="1:7" ht="15.75" thickBot="1">
      <c r="A290" s="79"/>
      <c r="B290" s="74" t="s">
        <v>129</v>
      </c>
      <c r="C290" s="75"/>
      <c r="D290" s="76"/>
      <c r="E290" s="103"/>
      <c r="F290" s="75" t="s">
        <v>41</v>
      </c>
      <c r="G290" s="75">
        <f>SUM(G267:G289)</f>
        <v>0</v>
      </c>
    </row>
    <row r="291" spans="1:7" ht="15.75" thickTop="1">
      <c r="E291" s="104"/>
    </row>
    <row r="292" spans="1:7">
      <c r="A292" s="5" t="s">
        <v>134</v>
      </c>
      <c r="B292" s="6" t="s">
        <v>135</v>
      </c>
      <c r="E292" s="104"/>
    </row>
    <row r="293" spans="1:7">
      <c r="E293" s="104"/>
    </row>
    <row r="294" spans="1:7" ht="60">
      <c r="A294" s="3" t="s">
        <v>111</v>
      </c>
      <c r="B294" s="2" t="s">
        <v>139</v>
      </c>
      <c r="E294" s="104"/>
    </row>
    <row r="295" spans="1:7">
      <c r="E295" s="104"/>
    </row>
    <row r="296" spans="1:7" ht="105">
      <c r="B296" s="2" t="s">
        <v>141</v>
      </c>
      <c r="E296" s="104"/>
    </row>
    <row r="297" spans="1:7">
      <c r="E297" s="104"/>
    </row>
    <row r="298" spans="1:7" ht="195">
      <c r="A298" s="3" t="s">
        <v>19</v>
      </c>
      <c r="B298" s="2" t="s">
        <v>186</v>
      </c>
      <c r="E298" s="104"/>
    </row>
    <row r="299" spans="1:7">
      <c r="E299" s="104"/>
    </row>
    <row r="300" spans="1:7">
      <c r="B300" s="2" t="s">
        <v>59</v>
      </c>
      <c r="C300" s="1">
        <v>1</v>
      </c>
      <c r="E300" s="101">
        <v>0</v>
      </c>
      <c r="G300" s="69">
        <f>C300*E300</f>
        <v>0</v>
      </c>
    </row>
    <row r="301" spans="1:7">
      <c r="E301" s="104"/>
    </row>
    <row r="302" spans="1:7" ht="45">
      <c r="A302" s="3" t="s">
        <v>46</v>
      </c>
      <c r="B302" s="2" t="s">
        <v>142</v>
      </c>
      <c r="E302" s="104"/>
    </row>
    <row r="303" spans="1:7">
      <c r="E303" s="104"/>
    </row>
    <row r="304" spans="1:7">
      <c r="A304" s="3" t="s">
        <v>114</v>
      </c>
      <c r="B304" s="2" t="s">
        <v>143</v>
      </c>
      <c r="C304" s="1">
        <v>13</v>
      </c>
      <c r="E304" s="101">
        <v>0</v>
      </c>
      <c r="G304" s="69">
        <f>C304*E304</f>
        <v>0</v>
      </c>
    </row>
    <row r="305" spans="1:7">
      <c r="E305" s="104"/>
    </row>
    <row r="306" spans="1:7">
      <c r="A306" s="3" t="s">
        <v>115</v>
      </c>
      <c r="B306" s="2" t="s">
        <v>144</v>
      </c>
      <c r="C306" s="1">
        <f>15*0.8</f>
        <v>12</v>
      </c>
      <c r="E306" s="101">
        <v>0</v>
      </c>
      <c r="G306" s="69">
        <f>C306*E306</f>
        <v>0</v>
      </c>
    </row>
    <row r="307" spans="1:7">
      <c r="E307" s="104"/>
    </row>
    <row r="308" spans="1:7" ht="45">
      <c r="A308" s="3" t="s">
        <v>50</v>
      </c>
      <c r="B308" s="2" t="s">
        <v>192</v>
      </c>
      <c r="E308" s="104"/>
    </row>
    <row r="309" spans="1:7">
      <c r="E309" s="104"/>
    </row>
    <row r="310" spans="1:7">
      <c r="B310" s="2" t="s">
        <v>59</v>
      </c>
      <c r="C310" s="1">
        <v>15</v>
      </c>
      <c r="E310" s="101">
        <v>0</v>
      </c>
      <c r="G310" s="69">
        <f>C310*E310</f>
        <v>0</v>
      </c>
    </row>
    <row r="311" spans="1:7">
      <c r="E311" s="104"/>
    </row>
    <row r="312" spans="1:7" ht="195">
      <c r="A312" s="3" t="s">
        <v>52</v>
      </c>
      <c r="B312" s="2" t="s">
        <v>145</v>
      </c>
      <c r="E312" s="104"/>
    </row>
    <row r="313" spans="1:7">
      <c r="E313" s="104"/>
    </row>
    <row r="314" spans="1:7">
      <c r="A314" s="3" t="s">
        <v>114</v>
      </c>
      <c r="B314" s="2" t="s">
        <v>146</v>
      </c>
      <c r="C314" s="1">
        <f>C304</f>
        <v>13</v>
      </c>
      <c r="E314" s="101">
        <v>0</v>
      </c>
      <c r="G314" s="69">
        <f>C314*E314</f>
        <v>0</v>
      </c>
    </row>
    <row r="315" spans="1:7">
      <c r="E315" s="104"/>
    </row>
    <row r="316" spans="1:7">
      <c r="A316" s="3" t="s">
        <v>115</v>
      </c>
      <c r="B316" s="2" t="s">
        <v>147</v>
      </c>
      <c r="C316" s="1">
        <f>C306</f>
        <v>12</v>
      </c>
      <c r="E316" s="101">
        <v>0</v>
      </c>
      <c r="G316" s="69">
        <f>C316*E316</f>
        <v>0</v>
      </c>
    </row>
    <row r="317" spans="1:7">
      <c r="E317" s="104"/>
    </row>
    <row r="318" spans="1:7" ht="210">
      <c r="A318" s="3" t="s">
        <v>54</v>
      </c>
      <c r="B318" s="17" t="s">
        <v>149</v>
      </c>
      <c r="C318" s="31"/>
      <c r="D318" s="26"/>
      <c r="E318" s="106"/>
      <c r="F318" s="33"/>
      <c r="G318" s="32"/>
    </row>
    <row r="319" spans="1:7">
      <c r="B319" s="17"/>
      <c r="C319" s="31"/>
      <c r="D319" s="26"/>
      <c r="E319" s="106"/>
      <c r="F319" s="33"/>
      <c r="G319" s="32"/>
    </row>
    <row r="320" spans="1:7">
      <c r="B320" s="17"/>
      <c r="C320" s="31"/>
      <c r="D320" s="26"/>
      <c r="E320" s="106"/>
      <c r="F320" s="33"/>
      <c r="G320" s="32"/>
    </row>
    <row r="321" spans="2:7">
      <c r="B321" s="17"/>
      <c r="C321" s="31"/>
      <c r="D321" s="26"/>
      <c r="E321" s="106"/>
      <c r="F321" s="33"/>
      <c r="G321" s="32"/>
    </row>
    <row r="322" spans="2:7">
      <c r="B322" s="17"/>
      <c r="C322" s="31"/>
      <c r="D322" s="26"/>
      <c r="E322" s="106"/>
      <c r="F322" s="33"/>
      <c r="G322" s="32"/>
    </row>
    <row r="323" spans="2:7">
      <c r="B323" s="17"/>
      <c r="C323" s="31"/>
      <c r="D323" s="26"/>
      <c r="E323" s="106"/>
      <c r="F323" s="33"/>
      <c r="G323" s="32"/>
    </row>
    <row r="324" spans="2:7">
      <c r="B324" s="17"/>
      <c r="C324" s="31"/>
      <c r="D324" s="26"/>
      <c r="E324" s="106"/>
      <c r="F324" s="33"/>
      <c r="G324" s="32"/>
    </row>
    <row r="325" spans="2:7">
      <c r="B325" s="17"/>
      <c r="C325" s="31"/>
      <c r="D325" s="26"/>
      <c r="E325" s="106"/>
      <c r="F325" s="33"/>
      <c r="G325" s="32"/>
    </row>
    <row r="326" spans="2:7">
      <c r="B326" s="17"/>
      <c r="C326" s="31"/>
      <c r="D326" s="26"/>
      <c r="E326" s="106"/>
      <c r="F326" s="33"/>
      <c r="G326" s="32"/>
    </row>
    <row r="327" spans="2:7">
      <c r="B327" s="17"/>
      <c r="C327" s="31"/>
      <c r="D327" s="26"/>
      <c r="E327" s="106"/>
      <c r="F327" s="33"/>
      <c r="G327" s="32"/>
    </row>
    <row r="328" spans="2:7">
      <c r="B328" s="17"/>
      <c r="C328" s="31"/>
      <c r="D328" s="26"/>
      <c r="E328" s="106"/>
      <c r="F328" s="33"/>
      <c r="G328" s="32"/>
    </row>
    <row r="329" spans="2:7">
      <c r="B329" s="17"/>
      <c r="C329" s="31"/>
      <c r="D329" s="26"/>
      <c r="E329" s="106"/>
      <c r="F329" s="33"/>
      <c r="G329" s="32"/>
    </row>
    <row r="330" spans="2:7">
      <c r="B330" s="17"/>
      <c r="C330" s="31"/>
      <c r="D330" s="26"/>
      <c r="E330" s="106"/>
      <c r="F330" s="33"/>
      <c r="G330" s="32"/>
    </row>
    <row r="331" spans="2:7">
      <c r="B331" s="17"/>
      <c r="C331" s="31"/>
      <c r="D331" s="26"/>
      <c r="E331" s="106"/>
      <c r="F331" s="33"/>
      <c r="G331" s="32"/>
    </row>
    <row r="332" spans="2:7">
      <c r="B332" s="17"/>
      <c r="C332" s="31"/>
      <c r="D332" s="26"/>
      <c r="E332" s="106"/>
      <c r="F332" s="33"/>
      <c r="G332" s="32"/>
    </row>
    <row r="333" spans="2:7">
      <c r="B333" s="17"/>
      <c r="C333" s="31"/>
      <c r="D333" s="26"/>
      <c r="E333" s="106"/>
      <c r="F333" s="33"/>
      <c r="G333" s="32"/>
    </row>
    <row r="334" spans="2:7">
      <c r="B334" s="17"/>
      <c r="C334" s="31"/>
      <c r="D334" s="26"/>
      <c r="E334" s="106"/>
      <c r="F334" s="33"/>
      <c r="G334" s="32"/>
    </row>
    <row r="335" spans="2:7">
      <c r="B335" s="17"/>
      <c r="C335" s="31"/>
      <c r="D335" s="26"/>
      <c r="E335" s="106"/>
      <c r="F335" s="33"/>
      <c r="G335" s="32"/>
    </row>
    <row r="336" spans="2:7">
      <c r="B336" s="17" t="s">
        <v>131</v>
      </c>
      <c r="C336" s="31"/>
      <c r="D336" s="26"/>
      <c r="E336" s="106"/>
      <c r="F336" s="33"/>
      <c r="G336" s="32"/>
    </row>
    <row r="337" spans="1:7">
      <c r="B337" s="17"/>
      <c r="C337" s="31"/>
      <c r="D337" s="26"/>
      <c r="E337" s="106"/>
      <c r="F337" s="33"/>
      <c r="G337" s="32"/>
    </row>
    <row r="338" spans="1:7">
      <c r="B338" s="17"/>
      <c r="C338" s="31"/>
      <c r="D338" s="26"/>
      <c r="E338" s="106"/>
      <c r="F338" s="33"/>
      <c r="G338" s="32"/>
    </row>
    <row r="339" spans="1:7">
      <c r="B339" s="17"/>
      <c r="C339" s="31"/>
      <c r="D339" s="26"/>
      <c r="E339" s="106"/>
      <c r="F339" s="33"/>
      <c r="G339" s="32"/>
    </row>
    <row r="340" spans="1:7">
      <c r="B340" s="17"/>
      <c r="C340" s="31"/>
      <c r="D340" s="26"/>
      <c r="E340" s="106"/>
      <c r="F340" s="33"/>
      <c r="G340" s="32"/>
    </row>
    <row r="341" spans="1:7">
      <c r="B341" s="17"/>
      <c r="C341" s="31"/>
      <c r="D341" s="26"/>
      <c r="E341" s="106"/>
      <c r="F341" s="33"/>
      <c r="G341" s="32"/>
    </row>
    <row r="342" spans="1:7">
      <c r="B342" s="17"/>
      <c r="C342" s="31"/>
      <c r="D342" s="26"/>
      <c r="E342" s="106"/>
      <c r="F342" s="33"/>
      <c r="G342" s="32"/>
    </row>
    <row r="343" spans="1:7">
      <c r="B343" s="17"/>
      <c r="C343" s="31"/>
      <c r="D343" s="26"/>
      <c r="E343" s="106"/>
      <c r="F343" s="33"/>
      <c r="G343" s="32"/>
    </row>
    <row r="344" spans="1:7">
      <c r="B344" s="17"/>
      <c r="C344" s="31"/>
      <c r="D344" s="26"/>
      <c r="E344" s="106"/>
      <c r="F344" s="33"/>
      <c r="G344" s="32"/>
    </row>
    <row r="345" spans="1:7">
      <c r="B345" s="17" t="s">
        <v>150</v>
      </c>
      <c r="C345" s="31"/>
      <c r="D345" s="26"/>
      <c r="E345" s="106"/>
      <c r="F345" s="33"/>
      <c r="G345" s="32"/>
    </row>
    <row r="346" spans="1:7">
      <c r="B346" s="17"/>
      <c r="C346" s="31"/>
      <c r="D346" s="26"/>
      <c r="E346" s="106"/>
      <c r="F346" s="33"/>
      <c r="G346" s="32"/>
    </row>
    <row r="347" spans="1:7">
      <c r="A347" s="23" t="s">
        <v>114</v>
      </c>
      <c r="B347" s="17" t="s">
        <v>152</v>
      </c>
      <c r="C347" s="36"/>
      <c r="D347" s="37"/>
      <c r="E347" s="107"/>
      <c r="F347" s="38"/>
      <c r="G347" s="39"/>
    </row>
    <row r="348" spans="1:7">
      <c r="A348" s="23"/>
      <c r="B348" s="17"/>
      <c r="C348" s="36"/>
      <c r="D348" s="37"/>
      <c r="E348" s="107"/>
      <c r="F348" s="38"/>
      <c r="G348" s="39"/>
    </row>
    <row r="349" spans="1:7">
      <c r="A349" s="23"/>
      <c r="B349" s="17" t="s">
        <v>59</v>
      </c>
      <c r="C349" s="36">
        <v>1</v>
      </c>
      <c r="D349" s="37"/>
      <c r="E349" s="101">
        <v>0</v>
      </c>
      <c r="G349" s="69">
        <f>C349*E349</f>
        <v>0</v>
      </c>
    </row>
    <row r="350" spans="1:7">
      <c r="A350" s="23"/>
      <c r="B350" s="17"/>
      <c r="C350" s="36"/>
      <c r="D350" s="37"/>
      <c r="E350" s="107"/>
      <c r="F350" s="38"/>
      <c r="G350" s="39"/>
    </row>
    <row r="351" spans="1:7" ht="15.75" thickBot="1">
      <c r="A351" s="79"/>
      <c r="B351" s="81" t="s">
        <v>153</v>
      </c>
      <c r="C351" s="97"/>
      <c r="D351" s="98"/>
      <c r="E351" s="111"/>
      <c r="F351" s="99" t="s">
        <v>41</v>
      </c>
      <c r="G351" s="100">
        <f>SUM(G292:G350)</f>
        <v>0</v>
      </c>
    </row>
    <row r="352" spans="1:7" ht="15.75" thickTop="1">
      <c r="B352" s="20"/>
      <c r="C352" s="31"/>
      <c r="D352" s="26"/>
      <c r="E352" s="106"/>
      <c r="F352" s="33"/>
      <c r="G352" s="32"/>
    </row>
    <row r="353" spans="1:7">
      <c r="A353" s="5" t="s">
        <v>136</v>
      </c>
      <c r="B353" s="6" t="s">
        <v>137</v>
      </c>
      <c r="E353" s="104"/>
      <c r="F353" s="34"/>
    </row>
    <row r="354" spans="1:7">
      <c r="E354" s="104"/>
      <c r="F354" s="34"/>
    </row>
    <row r="355" spans="1:7" ht="135">
      <c r="A355" s="3" t="s">
        <v>111</v>
      </c>
      <c r="B355" s="2" t="s">
        <v>140</v>
      </c>
      <c r="E355" s="104"/>
      <c r="F355" s="34"/>
    </row>
    <row r="356" spans="1:7">
      <c r="E356" s="104"/>
      <c r="F356" s="34"/>
    </row>
    <row r="357" spans="1:7" ht="90">
      <c r="A357" s="3" t="s">
        <v>19</v>
      </c>
      <c r="B357" s="17" t="s">
        <v>156</v>
      </c>
      <c r="E357" s="104"/>
      <c r="F357" s="34"/>
    </row>
    <row r="358" spans="1:7">
      <c r="B358" s="21"/>
      <c r="E358" s="104"/>
      <c r="F358" s="34"/>
    </row>
    <row r="359" spans="1:7">
      <c r="B359" s="2" t="s">
        <v>45</v>
      </c>
      <c r="C359" s="1">
        <f>C105</f>
        <v>395.99600000000004</v>
      </c>
      <c r="E359" s="101">
        <v>0</v>
      </c>
      <c r="G359" s="69">
        <f>C359*E359</f>
        <v>0</v>
      </c>
    </row>
    <row r="360" spans="1:7">
      <c r="E360" s="104"/>
      <c r="F360" s="34"/>
    </row>
    <row r="361" spans="1:7" ht="90" customHeight="1">
      <c r="A361" s="3" t="s">
        <v>154</v>
      </c>
      <c r="B361" s="17" t="s">
        <v>155</v>
      </c>
      <c r="E361" s="104"/>
      <c r="F361" s="34"/>
    </row>
    <row r="362" spans="1:7">
      <c r="E362" s="104"/>
      <c r="F362" s="34"/>
    </row>
    <row r="363" spans="1:7">
      <c r="B363" s="2" t="s">
        <v>45</v>
      </c>
      <c r="C363" s="1">
        <f>C359</f>
        <v>395.99600000000004</v>
      </c>
      <c r="E363" s="101">
        <v>0</v>
      </c>
      <c r="G363" s="69">
        <f>C363*E363</f>
        <v>0</v>
      </c>
    </row>
    <row r="364" spans="1:7">
      <c r="E364" s="104"/>
      <c r="F364" s="34"/>
    </row>
    <row r="365" spans="1:7" ht="255">
      <c r="A365" s="3" t="s">
        <v>50</v>
      </c>
      <c r="B365" s="17" t="s">
        <v>173</v>
      </c>
      <c r="E365" s="104"/>
      <c r="F365" s="34"/>
    </row>
    <row r="366" spans="1:7">
      <c r="B366" s="17"/>
      <c r="E366" s="104"/>
      <c r="F366" s="34"/>
    </row>
    <row r="367" spans="1:7">
      <c r="A367" s="3" t="s">
        <v>114</v>
      </c>
      <c r="B367" s="17" t="s">
        <v>157</v>
      </c>
      <c r="C367" s="1">
        <f>16-13</f>
        <v>3</v>
      </c>
      <c r="E367" s="101">
        <v>0</v>
      </c>
      <c r="G367" s="69">
        <f>C367*E367</f>
        <v>0</v>
      </c>
    </row>
    <row r="368" spans="1:7">
      <c r="B368" s="17"/>
      <c r="E368" s="104"/>
      <c r="F368" s="34"/>
    </row>
    <row r="369" spans="1:7">
      <c r="A369" s="3" t="s">
        <v>115</v>
      </c>
      <c r="B369" s="17" t="s">
        <v>147</v>
      </c>
      <c r="C369" s="1">
        <f>15-12</f>
        <v>3</v>
      </c>
      <c r="E369" s="101">
        <v>0</v>
      </c>
      <c r="G369" s="69">
        <f>C369*E369</f>
        <v>0</v>
      </c>
    </row>
    <row r="370" spans="1:7">
      <c r="B370" s="17"/>
      <c r="E370" s="104"/>
      <c r="F370" s="34"/>
    </row>
    <row r="371" spans="1:7" ht="45">
      <c r="A371" s="3" t="s">
        <v>52</v>
      </c>
      <c r="B371" s="17" t="s">
        <v>158</v>
      </c>
      <c r="E371" s="104"/>
      <c r="F371" s="34"/>
    </row>
    <row r="372" spans="1:7">
      <c r="B372" s="17"/>
      <c r="E372" s="104"/>
      <c r="F372" s="34"/>
    </row>
    <row r="373" spans="1:7">
      <c r="B373" s="17" t="s">
        <v>45</v>
      </c>
      <c r="C373" s="1">
        <v>1</v>
      </c>
      <c r="E373" s="101">
        <v>0</v>
      </c>
      <c r="G373" s="69">
        <f>C373*E373</f>
        <v>0</v>
      </c>
    </row>
    <row r="374" spans="1:7">
      <c r="B374" s="17"/>
      <c r="E374" s="104"/>
      <c r="F374" s="34"/>
    </row>
    <row r="375" spans="1:7" ht="30">
      <c r="A375" s="3" t="s">
        <v>54</v>
      </c>
      <c r="B375" s="40" t="s">
        <v>159</v>
      </c>
      <c r="E375" s="104"/>
      <c r="F375" s="34"/>
    </row>
    <row r="376" spans="1:7">
      <c r="E376" s="104"/>
      <c r="F376" s="34"/>
    </row>
    <row r="377" spans="1:7">
      <c r="B377" s="2" t="s">
        <v>59</v>
      </c>
      <c r="C377" s="1">
        <v>1</v>
      </c>
      <c r="E377" s="101">
        <v>0</v>
      </c>
      <c r="G377" s="69">
        <f>C377*E377</f>
        <v>0</v>
      </c>
    </row>
    <row r="378" spans="1:7">
      <c r="E378" s="104"/>
      <c r="F378" s="34"/>
    </row>
    <row r="379" spans="1:7" ht="15.75" thickBot="1">
      <c r="A379" s="79"/>
      <c r="B379" s="74" t="s">
        <v>160</v>
      </c>
      <c r="C379" s="75"/>
      <c r="D379" s="76"/>
      <c r="E379" s="103"/>
      <c r="F379" s="86" t="s">
        <v>41</v>
      </c>
      <c r="G379" s="75">
        <f>SUM(G353:G378)</f>
        <v>0</v>
      </c>
    </row>
    <row r="380" spans="1:7" ht="15.75" thickTop="1">
      <c r="F380" s="34"/>
    </row>
    <row r="381" spans="1:7">
      <c r="A381" s="5" t="s">
        <v>161</v>
      </c>
      <c r="B381" s="6" t="s">
        <v>162</v>
      </c>
    </row>
    <row r="383" spans="1:7" ht="120">
      <c r="A383" s="3">
        <v>1</v>
      </c>
      <c r="B383" s="2" t="s">
        <v>163</v>
      </c>
      <c r="G383" s="71">
        <f>(G60+G215+G223+G265+G290+G351+G379)*0.1</f>
        <v>0</v>
      </c>
    </row>
    <row r="384" spans="1:7">
      <c r="G384" s="41"/>
    </row>
    <row r="385" spans="1:7" ht="15.75" thickBot="1">
      <c r="A385" s="79"/>
      <c r="B385" s="74" t="s">
        <v>164</v>
      </c>
      <c r="C385" s="75"/>
      <c r="D385" s="76"/>
      <c r="E385" s="75"/>
      <c r="F385" s="75" t="s">
        <v>41</v>
      </c>
      <c r="G385" s="75">
        <f>SUM(G381:G384)</f>
        <v>0</v>
      </c>
    </row>
    <row r="386" spans="1:7" ht="15.75" thickTop="1">
      <c r="A386" s="42"/>
      <c r="B386" s="43"/>
      <c r="C386" s="44"/>
      <c r="D386" s="45"/>
      <c r="E386" s="44"/>
      <c r="F386" s="44"/>
      <c r="G386" s="44"/>
    </row>
    <row r="388" spans="1:7">
      <c r="A388" s="95"/>
      <c r="B388" s="96" t="s">
        <v>165</v>
      </c>
    </row>
    <row r="390" spans="1:7">
      <c r="A390" s="3" t="s">
        <v>17</v>
      </c>
      <c r="B390" s="2" t="s">
        <v>18</v>
      </c>
      <c r="G390" s="1">
        <f>G60</f>
        <v>0</v>
      </c>
    </row>
    <row r="392" spans="1:7">
      <c r="A392" s="3" t="s">
        <v>42</v>
      </c>
      <c r="B392" s="2" t="s">
        <v>43</v>
      </c>
      <c r="G392" s="1">
        <f>G215</f>
        <v>0</v>
      </c>
    </row>
    <row r="394" spans="1:7">
      <c r="A394" s="3" t="s">
        <v>105</v>
      </c>
      <c r="B394" s="2" t="s">
        <v>106</v>
      </c>
      <c r="G394" s="1">
        <f>G223</f>
        <v>0</v>
      </c>
    </row>
    <row r="396" spans="1:7">
      <c r="A396" s="3" t="s">
        <v>109</v>
      </c>
      <c r="B396" s="2" t="s">
        <v>110</v>
      </c>
      <c r="G396" s="1">
        <f>G265</f>
        <v>0</v>
      </c>
    </row>
    <row r="398" spans="1:7">
      <c r="A398" s="3" t="s">
        <v>125</v>
      </c>
      <c r="B398" s="2" t="s">
        <v>126</v>
      </c>
      <c r="G398" s="1">
        <f>G290</f>
        <v>0</v>
      </c>
    </row>
    <row r="400" spans="1:7">
      <c r="A400" s="3" t="s">
        <v>134</v>
      </c>
      <c r="B400" s="2" t="s">
        <v>135</v>
      </c>
      <c r="G400" s="1">
        <f>G351</f>
        <v>0</v>
      </c>
    </row>
    <row r="402" spans="1:7">
      <c r="A402" s="3" t="s">
        <v>136</v>
      </c>
      <c r="B402" s="2" t="s">
        <v>166</v>
      </c>
      <c r="G402" s="1">
        <f>G379</f>
        <v>0</v>
      </c>
    </row>
    <row r="404" spans="1:7">
      <c r="A404" s="3" t="s">
        <v>161</v>
      </c>
      <c r="B404" s="2" t="s">
        <v>167</v>
      </c>
      <c r="G404" s="1">
        <f>G385</f>
        <v>0</v>
      </c>
    </row>
    <row r="406" spans="1:7" ht="15.75" thickBot="1">
      <c r="A406" s="73"/>
      <c r="B406" s="74" t="s">
        <v>168</v>
      </c>
      <c r="C406" s="88"/>
      <c r="D406" s="89"/>
      <c r="E406" s="88"/>
      <c r="F406" s="88"/>
      <c r="G406" s="75">
        <f>SUM(G388:G405)</f>
        <v>0</v>
      </c>
    </row>
    <row r="407" spans="1:7" ht="15.75" thickTop="1"/>
  </sheetData>
  <sheetProtection algorithmName="SHA-512" hashValue="/91O+lnlNNujjzY1cUgGkRutA/nCrYU7dk4NddmQ5w6otUqTFZqkAzf4ooJhTVO1o1HzzSkqjAXZlMyixLQidQ==" saltValue="Fyy3B+A72A7mbJD5FOLcwQ==" spinCount="100000" sheet="1" objects="1" scenarios="1"/>
  <mergeCells count="1">
    <mergeCell ref="A2:G2"/>
  </mergeCells>
  <pageMargins left="0.9055118110236221" right="0.51181102362204722" top="0.6692913385826772" bottom="0.55118110236220474" header="0.31496062992125984" footer="0.31496062992125984"/>
  <pageSetup paperSize="9" scale="90"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80C6D3-F507-4F95-A64A-FBEE57EA06EC}">
  <sheetPr>
    <tabColor rgb="FF00B0F0"/>
  </sheetPr>
  <dimension ref="A1:G419"/>
  <sheetViews>
    <sheetView showGridLines="0" view="pageBreakPreview" zoomScaleNormal="100" zoomScaleSheetLayoutView="100" workbookViewId="0">
      <selection activeCell="E354" sqref="E100:E354"/>
    </sheetView>
  </sheetViews>
  <sheetFormatPr defaultRowHeight="15"/>
  <cols>
    <col min="1" max="1" width="10.5703125" style="3" customWidth="1"/>
    <col min="2" max="2" width="44" style="2" customWidth="1"/>
    <col min="3" max="3" width="9.5703125" style="1" customWidth="1"/>
    <col min="4" max="4" width="3.5703125" style="28" customWidth="1"/>
    <col min="5" max="5" width="10.140625" style="1" bestFit="1" customWidth="1"/>
    <col min="6" max="6" width="4.85546875" style="1" customWidth="1"/>
    <col min="7" max="7" width="11.28515625" style="1" customWidth="1"/>
    <col min="8" max="8" width="9.7109375" customWidth="1"/>
  </cols>
  <sheetData>
    <row r="1" spans="1:7" ht="19.5">
      <c r="A1" s="47" t="s">
        <v>362</v>
      </c>
      <c r="C1" s="48"/>
      <c r="D1" s="49"/>
      <c r="E1" s="48"/>
      <c r="F1" s="48"/>
      <c r="G1" s="114" t="s">
        <v>365</v>
      </c>
    </row>
    <row r="2" spans="1:7" ht="15.75" customHeight="1">
      <c r="A2" s="118" t="s">
        <v>366</v>
      </c>
      <c r="B2" s="118"/>
      <c r="C2" s="118"/>
      <c r="D2" s="118"/>
      <c r="E2" s="118"/>
      <c r="F2" s="118"/>
      <c r="G2" s="118"/>
    </row>
    <row r="3" spans="1:7" ht="18.75">
      <c r="A3" s="11"/>
      <c r="B3" s="12"/>
    </row>
    <row r="4" spans="1:7" ht="18.75">
      <c r="A4" s="5" t="s">
        <v>37</v>
      </c>
      <c r="B4" s="12"/>
    </row>
    <row r="5" spans="1:7" ht="18.75">
      <c r="A5" s="5"/>
      <c r="B5" s="12"/>
    </row>
    <row r="20" spans="1:1">
      <c r="A20" s="3" t="s">
        <v>193</v>
      </c>
    </row>
    <row r="21" spans="1:1" ht="9" customHeight="1"/>
    <row r="42" spans="1:1">
      <c r="A42" s="3" t="s">
        <v>224</v>
      </c>
    </row>
    <row r="63" spans="1:1">
      <c r="A63" s="3" t="s">
        <v>225</v>
      </c>
    </row>
    <row r="66" spans="1:2">
      <c r="A66" s="5" t="s">
        <v>0</v>
      </c>
      <c r="B66" s="6"/>
    </row>
    <row r="68" spans="1:2" ht="75">
      <c r="A68" s="3" t="s">
        <v>1</v>
      </c>
      <c r="B68" s="2" t="s">
        <v>2</v>
      </c>
    </row>
    <row r="69" spans="1:2" ht="45">
      <c r="A69" s="4" t="s">
        <v>3</v>
      </c>
      <c r="B69" s="2" t="s">
        <v>226</v>
      </c>
    </row>
    <row r="70" spans="1:2" ht="60">
      <c r="A70" s="4" t="s">
        <v>1</v>
      </c>
      <c r="B70" s="2" t="s">
        <v>5</v>
      </c>
    </row>
    <row r="71" spans="1:2" ht="90">
      <c r="A71" s="4" t="s">
        <v>1</v>
      </c>
      <c r="B71" s="2" t="s">
        <v>6</v>
      </c>
    </row>
    <row r="72" spans="1:2" ht="90">
      <c r="A72" s="4" t="s">
        <v>1</v>
      </c>
      <c r="B72" s="2" t="s">
        <v>74</v>
      </c>
    </row>
    <row r="73" spans="1:2" ht="75">
      <c r="A73" s="4" t="s">
        <v>1</v>
      </c>
      <c r="B73" s="2" t="s">
        <v>7</v>
      </c>
    </row>
    <row r="74" spans="1:2" ht="105.75" customHeight="1">
      <c r="A74" s="4" t="s">
        <v>1</v>
      </c>
      <c r="B74" s="2" t="s">
        <v>8</v>
      </c>
    </row>
    <row r="75" spans="1:2" ht="75">
      <c r="A75" s="4" t="s">
        <v>1</v>
      </c>
      <c r="B75" s="2" t="s">
        <v>9</v>
      </c>
    </row>
    <row r="76" spans="1:2" ht="45">
      <c r="A76" s="4" t="s">
        <v>1</v>
      </c>
      <c r="B76" s="2" t="s">
        <v>10</v>
      </c>
    </row>
    <row r="77" spans="1:2" ht="75">
      <c r="A77" s="4" t="s">
        <v>1</v>
      </c>
      <c r="B77" s="2" t="s">
        <v>12</v>
      </c>
    </row>
    <row r="78" spans="1:2" ht="60">
      <c r="A78" s="4" t="s">
        <v>1</v>
      </c>
      <c r="B78" s="2" t="s">
        <v>171</v>
      </c>
    </row>
    <row r="79" spans="1:2" ht="90" customHeight="1">
      <c r="A79" s="4" t="s">
        <v>1</v>
      </c>
      <c r="B79" s="2" t="s">
        <v>16</v>
      </c>
    </row>
    <row r="81" spans="1:2">
      <c r="A81" s="5" t="s">
        <v>17</v>
      </c>
      <c r="B81" s="6" t="s">
        <v>18</v>
      </c>
    </row>
    <row r="83" spans="1:2">
      <c r="A83" s="3" t="s">
        <v>19</v>
      </c>
      <c r="B83" s="7" t="s">
        <v>205</v>
      </c>
    </row>
    <row r="84" spans="1:2" ht="105">
      <c r="B84" s="8" t="s">
        <v>22</v>
      </c>
    </row>
    <row r="85" spans="1:2">
      <c r="B85" s="9" t="s">
        <v>23</v>
      </c>
    </row>
    <row r="86" spans="1:2" ht="30">
      <c r="B86" s="9" t="s">
        <v>24</v>
      </c>
    </row>
    <row r="87" spans="1:2" ht="45">
      <c r="B87" s="9" t="s">
        <v>25</v>
      </c>
    </row>
    <row r="88" spans="1:2" ht="60">
      <c r="B88" s="9" t="s">
        <v>32</v>
      </c>
    </row>
    <row r="89" spans="1:2" ht="45">
      <c r="B89" s="9" t="s">
        <v>33</v>
      </c>
    </row>
    <row r="90" spans="1:2" ht="75">
      <c r="B90" s="9" t="s">
        <v>34</v>
      </c>
    </row>
    <row r="91" spans="1:2" ht="30">
      <c r="B91" s="9" t="s">
        <v>26</v>
      </c>
    </row>
    <row r="92" spans="1:2" ht="30">
      <c r="B92" s="9" t="s">
        <v>27</v>
      </c>
    </row>
    <row r="93" spans="1:2" ht="45">
      <c r="B93" s="9" t="s">
        <v>28</v>
      </c>
    </row>
    <row r="94" spans="1:2" ht="60">
      <c r="B94" s="9" t="s">
        <v>29</v>
      </c>
    </row>
    <row r="95" spans="1:2">
      <c r="B95" s="9" t="s">
        <v>30</v>
      </c>
    </row>
    <row r="96" spans="1:2">
      <c r="B96" s="9" t="s">
        <v>31</v>
      </c>
    </row>
    <row r="98" spans="1:7" ht="30">
      <c r="B98" s="10" t="s">
        <v>35</v>
      </c>
    </row>
    <row r="100" spans="1:7">
      <c r="B100" s="2" t="s">
        <v>36</v>
      </c>
      <c r="C100" s="1">
        <v>1</v>
      </c>
      <c r="E100" s="101">
        <v>0</v>
      </c>
      <c r="G100" s="69">
        <f>C100*E100</f>
        <v>0</v>
      </c>
    </row>
    <row r="101" spans="1:7">
      <c r="E101" s="104"/>
    </row>
    <row r="102" spans="1:7" ht="15.75" thickBot="1">
      <c r="A102" s="73"/>
      <c r="B102" s="74" t="s">
        <v>40</v>
      </c>
      <c r="C102" s="75"/>
      <c r="D102" s="76"/>
      <c r="E102" s="103"/>
      <c r="F102" s="75" t="s">
        <v>41</v>
      </c>
      <c r="G102" s="75">
        <f>G100</f>
        <v>0</v>
      </c>
    </row>
    <row r="103" spans="1:7" ht="15.75" thickTop="1">
      <c r="E103" s="104"/>
    </row>
    <row r="104" spans="1:7">
      <c r="A104" s="5" t="s">
        <v>42</v>
      </c>
      <c r="B104" s="6" t="s">
        <v>43</v>
      </c>
      <c r="E104" s="104"/>
    </row>
    <row r="105" spans="1:7">
      <c r="E105" s="104"/>
    </row>
    <row r="106" spans="1:7" ht="45">
      <c r="A106" s="3" t="s">
        <v>19</v>
      </c>
      <c r="B106" s="2" t="s">
        <v>48</v>
      </c>
      <c r="E106" s="104"/>
    </row>
    <row r="107" spans="1:7">
      <c r="E107" s="104"/>
    </row>
    <row r="108" spans="1:7">
      <c r="B108" s="2" t="s">
        <v>45</v>
      </c>
      <c r="C108" s="1">
        <f>(14*19+9.2*23+3.14*2.8*23+10.7*19+3.14*2.8*23+9.8*23+(3+8+4+7+3)*23)*1.05-0.02</f>
        <v>1979.9986000000001</v>
      </c>
      <c r="E108" s="101">
        <v>0</v>
      </c>
      <c r="G108" s="69">
        <f>C108*E108</f>
        <v>0</v>
      </c>
    </row>
    <row r="109" spans="1:7">
      <c r="E109" s="104"/>
    </row>
    <row r="110" spans="1:7" ht="30">
      <c r="A110" s="3" t="s">
        <v>46</v>
      </c>
      <c r="B110" s="2" t="s">
        <v>49</v>
      </c>
      <c r="E110" s="104"/>
    </row>
    <row r="111" spans="1:7">
      <c r="E111" s="104"/>
    </row>
    <row r="112" spans="1:7">
      <c r="B112" s="2" t="s">
        <v>36</v>
      </c>
      <c r="C112" s="1">
        <v>5</v>
      </c>
      <c r="E112" s="101">
        <v>0</v>
      </c>
      <c r="G112" s="69">
        <f>C112*E112</f>
        <v>0</v>
      </c>
    </row>
    <row r="113" spans="1:7">
      <c r="E113" s="104"/>
    </row>
    <row r="114" spans="1:7" ht="30">
      <c r="A114" s="3" t="s">
        <v>50</v>
      </c>
      <c r="B114" s="2" t="s">
        <v>51</v>
      </c>
      <c r="E114" s="104"/>
    </row>
    <row r="115" spans="1:7">
      <c r="E115" s="104"/>
    </row>
    <row r="116" spans="1:7">
      <c r="B116" s="2" t="s">
        <v>36</v>
      </c>
      <c r="C116" s="1">
        <v>4</v>
      </c>
      <c r="E116" s="101">
        <v>0</v>
      </c>
      <c r="G116" s="69">
        <f>C116*E116</f>
        <v>0</v>
      </c>
    </row>
    <row r="117" spans="1:7">
      <c r="E117" s="104"/>
    </row>
    <row r="118" spans="1:7" ht="30">
      <c r="A118" s="3" t="s">
        <v>52</v>
      </c>
      <c r="B118" s="2" t="s">
        <v>53</v>
      </c>
      <c r="E118" s="104"/>
    </row>
    <row r="119" spans="1:7">
      <c r="E119" s="104"/>
    </row>
    <row r="120" spans="1:7">
      <c r="B120" s="2" t="s">
        <v>36</v>
      </c>
      <c r="C120" s="1">
        <v>3</v>
      </c>
      <c r="E120" s="101">
        <v>0</v>
      </c>
      <c r="G120" s="69">
        <f>C120*E120</f>
        <v>0</v>
      </c>
    </row>
    <row r="121" spans="1:7">
      <c r="E121" s="104"/>
    </row>
    <row r="122" spans="1:7" ht="15" customHeight="1">
      <c r="A122" s="3" t="s">
        <v>54</v>
      </c>
      <c r="B122" s="2" t="s">
        <v>55</v>
      </c>
      <c r="E122" s="104"/>
    </row>
    <row r="123" spans="1:7">
      <c r="E123" s="104"/>
    </row>
    <row r="124" spans="1:7">
      <c r="B124" s="2" t="s">
        <v>56</v>
      </c>
      <c r="C124" s="1">
        <f>((14+9.2+3.14*2.8+10.7+3.14*2.8+9.8+25))*1.05-0.6</f>
        <v>89.998199999999997</v>
      </c>
      <c r="E124" s="101">
        <v>0</v>
      </c>
      <c r="G124" s="69">
        <f>C124*E124</f>
        <v>0</v>
      </c>
    </row>
    <row r="125" spans="1:7">
      <c r="E125" s="104"/>
    </row>
    <row r="126" spans="1:7" ht="60">
      <c r="A126" s="3" t="s">
        <v>57</v>
      </c>
      <c r="B126" s="10" t="s">
        <v>44</v>
      </c>
      <c r="E126" s="104"/>
    </row>
    <row r="127" spans="1:7">
      <c r="E127" s="104"/>
    </row>
    <row r="128" spans="1:7">
      <c r="B128" s="2" t="s">
        <v>45</v>
      </c>
      <c r="C128" s="1">
        <f>(74*1.7*1.7+10*0.6*1.7+24*0.6*1.7)*1.05-0.97</f>
        <v>259.99699999999996</v>
      </c>
      <c r="E128" s="101">
        <v>0</v>
      </c>
      <c r="G128" s="69">
        <f>C128*E128</f>
        <v>0</v>
      </c>
    </row>
    <row r="129" spans="1:7">
      <c r="E129" s="104"/>
    </row>
    <row r="130" spans="1:7" ht="45">
      <c r="A130" s="3" t="s">
        <v>58</v>
      </c>
      <c r="B130" s="2" t="s">
        <v>60</v>
      </c>
      <c r="E130" s="104"/>
    </row>
    <row r="131" spans="1:7" ht="9.75" customHeight="1">
      <c r="E131" s="104"/>
    </row>
    <row r="132" spans="1:7">
      <c r="B132" s="2" t="s">
        <v>59</v>
      </c>
      <c r="C132" s="1">
        <v>3</v>
      </c>
      <c r="E132" s="101">
        <v>0</v>
      </c>
      <c r="G132" s="69">
        <f>C132*E132</f>
        <v>0</v>
      </c>
    </row>
    <row r="133" spans="1:7">
      <c r="E133" s="104"/>
    </row>
    <row r="134" spans="1:7" ht="30">
      <c r="A134" s="3" t="s">
        <v>61</v>
      </c>
      <c r="B134" s="2" t="s">
        <v>62</v>
      </c>
      <c r="E134" s="104"/>
    </row>
    <row r="135" spans="1:7" ht="9" customHeight="1">
      <c r="E135" s="104"/>
    </row>
    <row r="136" spans="1:7">
      <c r="B136" s="2" t="s">
        <v>63</v>
      </c>
      <c r="C136" s="1">
        <v>1</v>
      </c>
      <c r="E136" s="101">
        <v>0</v>
      </c>
      <c r="G136" s="69">
        <f>C136*E136</f>
        <v>0</v>
      </c>
    </row>
    <row r="137" spans="1:7">
      <c r="E137" s="104"/>
    </row>
    <row r="138" spans="1:7" ht="90" customHeight="1">
      <c r="A138" s="3" t="s">
        <v>64</v>
      </c>
      <c r="B138" s="17" t="s">
        <v>65</v>
      </c>
      <c r="E138" s="104"/>
    </row>
    <row r="139" spans="1:7" ht="10.5" customHeight="1">
      <c r="E139" s="104"/>
    </row>
    <row r="140" spans="1:7">
      <c r="B140" s="2" t="s">
        <v>56</v>
      </c>
      <c r="C140" s="1">
        <f>C124</f>
        <v>89.998199999999997</v>
      </c>
      <c r="E140" s="101">
        <v>0</v>
      </c>
      <c r="G140" s="69">
        <f>C140*E140</f>
        <v>0</v>
      </c>
    </row>
    <row r="141" spans="1:7">
      <c r="E141" s="104"/>
    </row>
    <row r="142" spans="1:7" ht="75">
      <c r="A142" s="3" t="s">
        <v>66</v>
      </c>
      <c r="B142" s="2" t="s">
        <v>67</v>
      </c>
      <c r="E142" s="104"/>
    </row>
    <row r="143" spans="1:7" ht="12" customHeight="1">
      <c r="E143" s="104"/>
    </row>
    <row r="144" spans="1:7">
      <c r="B144" s="2" t="s">
        <v>59</v>
      </c>
      <c r="C144" s="1">
        <v>550</v>
      </c>
      <c r="E144" s="101">
        <v>0</v>
      </c>
      <c r="G144" s="69">
        <f>C144*E144</f>
        <v>0</v>
      </c>
    </row>
    <row r="145" spans="1:7">
      <c r="E145" s="104"/>
    </row>
    <row r="146" spans="1:7" ht="30" customHeight="1">
      <c r="A146" s="3" t="s">
        <v>68</v>
      </c>
      <c r="B146" s="2" t="s">
        <v>47</v>
      </c>
      <c r="E146" s="104"/>
    </row>
    <row r="147" spans="1:7" ht="8.25" customHeight="1">
      <c r="E147" s="104"/>
    </row>
    <row r="148" spans="1:7">
      <c r="B148" s="2" t="s">
        <v>45</v>
      </c>
      <c r="C148" s="1">
        <f>(14*19-3.8*3.8+9.2*23+3.14*1.8*23+10.7*19+3.14*1.8*23+9.8*23+25*23)*1.05-0.19</f>
        <v>1813.0046</v>
      </c>
      <c r="E148" s="101">
        <v>0</v>
      </c>
      <c r="G148" s="69">
        <f>C148*E148</f>
        <v>0</v>
      </c>
    </row>
    <row r="149" spans="1:7">
      <c r="E149" s="104"/>
    </row>
    <row r="150" spans="1:7" ht="105">
      <c r="A150" s="3" t="s">
        <v>69</v>
      </c>
      <c r="B150" s="2" t="s">
        <v>72</v>
      </c>
      <c r="E150" s="104"/>
    </row>
    <row r="151" spans="1:7" ht="11.25" customHeight="1">
      <c r="E151" s="104"/>
    </row>
    <row r="152" spans="1:7">
      <c r="B152" s="2" t="s">
        <v>45</v>
      </c>
      <c r="C152" s="1">
        <f>C148*0.6+0.4</f>
        <v>1088.2027600000001</v>
      </c>
      <c r="E152" s="101">
        <v>0</v>
      </c>
      <c r="G152" s="69">
        <f>C152*E152</f>
        <v>0</v>
      </c>
    </row>
    <row r="153" spans="1:7">
      <c r="E153" s="104"/>
    </row>
    <row r="154" spans="1:7" ht="105" customHeight="1">
      <c r="A154" s="3" t="s">
        <v>70</v>
      </c>
      <c r="B154" s="2" t="s">
        <v>71</v>
      </c>
      <c r="E154" s="104"/>
    </row>
    <row r="155" spans="1:7">
      <c r="E155" s="104"/>
    </row>
    <row r="156" spans="1:7">
      <c r="B156" s="2" t="s">
        <v>45</v>
      </c>
      <c r="C156" s="1">
        <f>C148</f>
        <v>1813.0046</v>
      </c>
      <c r="E156" s="101">
        <v>0</v>
      </c>
      <c r="G156" s="69">
        <f>C156*E156</f>
        <v>0</v>
      </c>
    </row>
    <row r="157" spans="1:7">
      <c r="E157" s="104"/>
    </row>
    <row r="158" spans="1:7" ht="75">
      <c r="A158" s="3" t="s">
        <v>73</v>
      </c>
      <c r="B158" s="2" t="s">
        <v>75</v>
      </c>
      <c r="E158" s="104"/>
    </row>
    <row r="159" spans="1:7">
      <c r="E159" s="104"/>
    </row>
    <row r="160" spans="1:7">
      <c r="A160" s="3" t="s">
        <v>114</v>
      </c>
      <c r="B160" s="2" t="s">
        <v>227</v>
      </c>
      <c r="C160" s="1">
        <f>C152-C162</f>
        <v>932.20756000000006</v>
      </c>
      <c r="E160" s="101">
        <v>0</v>
      </c>
      <c r="G160" s="69">
        <f>C160*E160</f>
        <v>0</v>
      </c>
    </row>
    <row r="161" spans="1:7">
      <c r="E161" s="104"/>
    </row>
    <row r="162" spans="1:7">
      <c r="A162" s="3" t="s">
        <v>115</v>
      </c>
      <c r="B162" s="2" t="s">
        <v>228</v>
      </c>
      <c r="C162" s="1">
        <f>2*3.14*1.8*23*0.6</f>
        <v>155.99520000000001</v>
      </c>
      <c r="E162" s="101">
        <v>0</v>
      </c>
      <c r="G162" s="69">
        <f>C162*E162</f>
        <v>0</v>
      </c>
    </row>
    <row r="163" spans="1:7">
      <c r="E163" s="104"/>
    </row>
    <row r="164" spans="1:7" ht="60">
      <c r="A164" s="3" t="s">
        <v>76</v>
      </c>
      <c r="B164" s="2" t="s">
        <v>83</v>
      </c>
      <c r="E164" s="104"/>
    </row>
    <row r="165" spans="1:7">
      <c r="E165" s="104"/>
    </row>
    <row r="166" spans="1:7">
      <c r="A166" s="3" t="s">
        <v>114</v>
      </c>
      <c r="B166" s="2" t="s">
        <v>227</v>
      </c>
      <c r="C166" s="1">
        <f>C156-C168</f>
        <v>1553.0026</v>
      </c>
      <c r="E166" s="101">
        <v>0</v>
      </c>
      <c r="G166" s="69">
        <f>C166*E166</f>
        <v>0</v>
      </c>
    </row>
    <row r="167" spans="1:7">
      <c r="E167" s="104"/>
    </row>
    <row r="168" spans="1:7">
      <c r="A168" s="3" t="s">
        <v>115</v>
      </c>
      <c r="B168" s="2" t="s">
        <v>228</v>
      </c>
      <c r="C168" s="1">
        <f>C162/0.6+0.01</f>
        <v>260.00200000000001</v>
      </c>
      <c r="E168" s="101">
        <v>0</v>
      </c>
      <c r="G168" s="69">
        <f>C168*E168</f>
        <v>0</v>
      </c>
    </row>
    <row r="169" spans="1:7">
      <c r="E169" s="104"/>
    </row>
    <row r="170" spans="1:7" ht="45">
      <c r="A170" s="3" t="s">
        <v>77</v>
      </c>
      <c r="B170" s="2" t="s">
        <v>90</v>
      </c>
      <c r="E170" s="104"/>
    </row>
    <row r="171" spans="1:7">
      <c r="E171" s="104"/>
    </row>
    <row r="172" spans="1:7">
      <c r="A172" s="3" t="s">
        <v>114</v>
      </c>
      <c r="B172" s="2" t="s">
        <v>227</v>
      </c>
      <c r="C172" s="1">
        <f>C166</f>
        <v>1553.0026</v>
      </c>
      <c r="E172" s="101">
        <v>0</v>
      </c>
      <c r="G172" s="69">
        <f>C172*E172</f>
        <v>0</v>
      </c>
    </row>
    <row r="173" spans="1:7">
      <c r="E173" s="104"/>
    </row>
    <row r="174" spans="1:7">
      <c r="A174" s="3" t="s">
        <v>115</v>
      </c>
      <c r="B174" s="2" t="s">
        <v>228</v>
      </c>
      <c r="C174" s="1">
        <f>C168</f>
        <v>260.00200000000001</v>
      </c>
      <c r="E174" s="101">
        <v>0</v>
      </c>
      <c r="G174" s="69">
        <f>C174*E174</f>
        <v>0</v>
      </c>
    </row>
    <row r="175" spans="1:7">
      <c r="E175" s="104"/>
    </row>
    <row r="176" spans="1:7" ht="45">
      <c r="A176" s="3" t="s">
        <v>78</v>
      </c>
      <c r="B176" s="2" t="s">
        <v>89</v>
      </c>
      <c r="E176" s="104"/>
    </row>
    <row r="177" spans="1:7">
      <c r="E177" s="104"/>
    </row>
    <row r="178" spans="1:7">
      <c r="B178" s="2" t="s">
        <v>45</v>
      </c>
      <c r="C178" s="1">
        <f>C140</f>
        <v>89.998199999999997</v>
      </c>
      <c r="E178" s="101">
        <v>0</v>
      </c>
      <c r="G178" s="69">
        <f>C178*E178</f>
        <v>0</v>
      </c>
    </row>
    <row r="179" spans="1:7">
      <c r="E179" s="104"/>
    </row>
    <row r="180" spans="1:7" ht="60">
      <c r="A180" s="3" t="s">
        <v>80</v>
      </c>
      <c r="B180" s="2" t="s">
        <v>229</v>
      </c>
      <c r="E180" s="104"/>
    </row>
    <row r="181" spans="1:7">
      <c r="E181" s="104"/>
    </row>
    <row r="182" spans="1:7">
      <c r="A182" s="3" t="s">
        <v>114</v>
      </c>
      <c r="B182" s="2" t="s">
        <v>230</v>
      </c>
      <c r="C182" s="1">
        <f>((5*14+3.5+6*9.2+5*10.7+6*9.8+6*25))*1.05-0.55</f>
        <v>410</v>
      </c>
      <c r="E182" s="101">
        <v>0</v>
      </c>
      <c r="G182" s="69">
        <f>C182*E182</f>
        <v>0</v>
      </c>
    </row>
    <row r="183" spans="1:7">
      <c r="E183" s="104"/>
    </row>
    <row r="184" spans="1:7">
      <c r="A184" s="3" t="s">
        <v>115</v>
      </c>
      <c r="B184" s="2" t="s">
        <v>232</v>
      </c>
      <c r="C184" s="1">
        <f>(2*4*3.14*2.8)*1.05+0.15</f>
        <v>74.002800000000008</v>
      </c>
      <c r="E184" s="101">
        <v>0</v>
      </c>
      <c r="G184" s="69">
        <f>C184*E184</f>
        <v>0</v>
      </c>
    </row>
    <row r="185" spans="1:7">
      <c r="E185" s="104"/>
    </row>
    <row r="186" spans="1:7" ht="45" customHeight="1">
      <c r="A186" s="3" t="s">
        <v>82</v>
      </c>
      <c r="B186" s="2" t="s">
        <v>198</v>
      </c>
      <c r="E186" s="104"/>
    </row>
    <row r="187" spans="1:7">
      <c r="E187" s="104"/>
    </row>
    <row r="188" spans="1:7">
      <c r="A188" s="3" t="s">
        <v>114</v>
      </c>
      <c r="B188" s="2" t="s">
        <v>231</v>
      </c>
      <c r="C188" s="1">
        <f>C178</f>
        <v>89.998199999999997</v>
      </c>
      <c r="E188" s="101">
        <v>0</v>
      </c>
      <c r="G188" s="69">
        <f>C188*E188</f>
        <v>0</v>
      </c>
    </row>
    <row r="189" spans="1:7">
      <c r="E189" s="104"/>
    </row>
    <row r="190" spans="1:7">
      <c r="A190" s="3" t="s">
        <v>115</v>
      </c>
      <c r="B190" s="2" t="s">
        <v>233</v>
      </c>
      <c r="C190" s="1">
        <f>3.14*2.8*2+0.42</f>
        <v>18.004000000000001</v>
      </c>
      <c r="E190" s="101">
        <v>0</v>
      </c>
      <c r="G190" s="69">
        <f>C190*E190</f>
        <v>0</v>
      </c>
    </row>
    <row r="191" spans="1:7">
      <c r="E191" s="104"/>
    </row>
    <row r="192" spans="1:7" ht="60">
      <c r="A192" s="3" t="s">
        <v>84</v>
      </c>
      <c r="B192" s="2" t="s">
        <v>234</v>
      </c>
      <c r="E192" s="104"/>
    </row>
    <row r="193" spans="1:7">
      <c r="E193" s="104"/>
    </row>
    <row r="194" spans="1:7">
      <c r="A194" s="3" t="s">
        <v>114</v>
      </c>
      <c r="B194" s="2" t="s">
        <v>235</v>
      </c>
      <c r="C194" s="1">
        <f>C188+2*5.5</f>
        <v>100.9982</v>
      </c>
      <c r="E194" s="101">
        <v>0</v>
      </c>
      <c r="G194" s="69">
        <f>C194*E194</f>
        <v>0</v>
      </c>
    </row>
    <row r="195" spans="1:7">
      <c r="E195" s="104"/>
    </row>
    <row r="196" spans="1:7">
      <c r="A196" s="3" t="s">
        <v>115</v>
      </c>
      <c r="B196" s="2" t="s">
        <v>233</v>
      </c>
      <c r="C196" s="1">
        <f>3.14*2.8*2+0.42</f>
        <v>18.004000000000001</v>
      </c>
      <c r="E196" s="101">
        <v>0</v>
      </c>
      <c r="G196" s="69">
        <f>C196*E196</f>
        <v>0</v>
      </c>
    </row>
    <row r="197" spans="1:7">
      <c r="E197" s="104"/>
    </row>
    <row r="198" spans="1:7" ht="60" customHeight="1">
      <c r="A198" s="3" t="s">
        <v>85</v>
      </c>
      <c r="B198" s="2" t="s">
        <v>236</v>
      </c>
      <c r="E198" s="104"/>
    </row>
    <row r="199" spans="1:7">
      <c r="E199" s="104"/>
    </row>
    <row r="200" spans="1:7">
      <c r="B200" s="2" t="s">
        <v>56</v>
      </c>
      <c r="C200" s="1">
        <f>(50*2.1+29*0.9)*1.05+0.34</f>
        <v>137.995</v>
      </c>
      <c r="E200" s="101">
        <v>0</v>
      </c>
      <c r="G200" s="69">
        <f>C200*E200</f>
        <v>0</v>
      </c>
    </row>
    <row r="201" spans="1:7">
      <c r="E201" s="104"/>
    </row>
    <row r="202" spans="1:7" ht="45">
      <c r="A202" s="3" t="s">
        <v>86</v>
      </c>
      <c r="B202" s="2" t="s">
        <v>88</v>
      </c>
      <c r="E202" s="104"/>
    </row>
    <row r="203" spans="1:7">
      <c r="E203" s="104"/>
    </row>
    <row r="204" spans="1:7">
      <c r="B204" s="2" t="s">
        <v>56</v>
      </c>
      <c r="C204" s="1">
        <f>C182+C184+C188+C190-0.01</f>
        <v>591.995</v>
      </c>
      <c r="E204" s="101">
        <v>0</v>
      </c>
      <c r="G204" s="69">
        <f>C204*E204</f>
        <v>0</v>
      </c>
    </row>
    <row r="205" spans="1:7">
      <c r="E205" s="104"/>
    </row>
    <row r="206" spans="1:7">
      <c r="A206" s="3" t="s">
        <v>91</v>
      </c>
      <c r="B206" s="2" t="s">
        <v>237</v>
      </c>
      <c r="E206" s="104"/>
    </row>
    <row r="207" spans="1:7">
      <c r="E207" s="104"/>
    </row>
    <row r="208" spans="1:7">
      <c r="B208" s="2" t="s">
        <v>56</v>
      </c>
      <c r="C208" s="1">
        <f>C200</f>
        <v>137.995</v>
      </c>
      <c r="E208" s="101">
        <v>0</v>
      </c>
      <c r="G208" s="69">
        <f>C208*E208</f>
        <v>0</v>
      </c>
    </row>
    <row r="209" spans="1:7">
      <c r="E209" s="104"/>
    </row>
    <row r="210" spans="1:7" ht="135">
      <c r="A210" s="3" t="s">
        <v>92</v>
      </c>
      <c r="B210" s="2" t="s">
        <v>223</v>
      </c>
      <c r="E210" s="104"/>
    </row>
    <row r="211" spans="1:7">
      <c r="E211" s="104"/>
    </row>
    <row r="212" spans="1:7">
      <c r="B212" s="2" t="s">
        <v>56</v>
      </c>
      <c r="C212" s="1">
        <f>19+23</f>
        <v>42</v>
      </c>
      <c r="E212" s="101">
        <v>0</v>
      </c>
      <c r="G212" s="69">
        <f>C212*E212</f>
        <v>0</v>
      </c>
    </row>
    <row r="213" spans="1:7">
      <c r="E213" s="104"/>
    </row>
    <row r="214" spans="1:7" ht="60" customHeight="1">
      <c r="A214" s="3" t="s">
        <v>93</v>
      </c>
      <c r="B214" s="2" t="s">
        <v>94</v>
      </c>
      <c r="E214" s="104"/>
    </row>
    <row r="215" spans="1:7">
      <c r="E215" s="104"/>
    </row>
    <row r="216" spans="1:7">
      <c r="B216" s="2" t="s">
        <v>63</v>
      </c>
      <c r="C216" s="1">
        <v>1</v>
      </c>
      <c r="E216" s="101">
        <v>0</v>
      </c>
      <c r="G216" s="69">
        <f>C216*E216</f>
        <v>0</v>
      </c>
    </row>
    <row r="217" spans="1:7">
      <c r="E217" s="104"/>
    </row>
    <row r="218" spans="1:7" ht="45">
      <c r="A218" s="3" t="s">
        <v>95</v>
      </c>
      <c r="B218" s="2" t="s">
        <v>96</v>
      </c>
      <c r="E218" s="104"/>
    </row>
    <row r="219" spans="1:7">
      <c r="E219" s="104"/>
    </row>
    <row r="220" spans="1:7">
      <c r="B220" s="2" t="s">
        <v>97</v>
      </c>
      <c r="C220" s="1">
        <f>C148*0.01*1.25+C160*0.03*1.25</f>
        <v>57.620341000000003</v>
      </c>
      <c r="E220" s="101">
        <v>0</v>
      </c>
      <c r="G220" s="69">
        <f>C220*E220</f>
        <v>0</v>
      </c>
    </row>
    <row r="221" spans="1:7">
      <c r="E221" s="104"/>
    </row>
    <row r="222" spans="1:7" ht="45">
      <c r="A222" s="3" t="s">
        <v>98</v>
      </c>
      <c r="B222" s="2" t="s">
        <v>99</v>
      </c>
      <c r="E222" s="104"/>
    </row>
    <row r="223" spans="1:7">
      <c r="E223" s="104"/>
    </row>
    <row r="224" spans="1:7">
      <c r="B224" s="2" t="s">
        <v>63</v>
      </c>
      <c r="C224" s="1">
        <v>1</v>
      </c>
      <c r="E224" s="101">
        <v>0</v>
      </c>
      <c r="G224" s="69">
        <f>C224*E224</f>
        <v>0</v>
      </c>
    </row>
    <row r="225" spans="1:7">
      <c r="E225" s="102"/>
      <c r="G225" s="72"/>
    </row>
    <row r="226" spans="1:7" ht="15.75" thickBot="1">
      <c r="A226" s="79"/>
      <c r="B226" s="74" t="s">
        <v>100</v>
      </c>
      <c r="C226" s="75"/>
      <c r="D226" s="76"/>
      <c r="E226" s="103"/>
      <c r="F226" s="75" t="s">
        <v>41</v>
      </c>
      <c r="G226" s="75">
        <f>SUM(G104:G225)</f>
        <v>0</v>
      </c>
    </row>
    <row r="227" spans="1:7" ht="15.75" thickTop="1">
      <c r="E227" s="104"/>
    </row>
    <row r="228" spans="1:7">
      <c r="A228" s="5" t="s">
        <v>105</v>
      </c>
      <c r="B228" s="6" t="s">
        <v>106</v>
      </c>
      <c r="E228" s="104"/>
    </row>
    <row r="229" spans="1:7">
      <c r="E229" s="104"/>
    </row>
    <row r="230" spans="1:7" ht="105">
      <c r="A230" s="3" t="s">
        <v>19</v>
      </c>
      <c r="B230" s="22" t="s">
        <v>107</v>
      </c>
      <c r="E230" s="104"/>
    </row>
    <row r="231" spans="1:7">
      <c r="E231" s="104"/>
    </row>
    <row r="232" spans="1:7">
      <c r="B232" s="2" t="s">
        <v>63</v>
      </c>
      <c r="C232" s="1">
        <v>1</v>
      </c>
      <c r="E232" s="101">
        <v>0</v>
      </c>
      <c r="G232" s="69">
        <f>C232*E232</f>
        <v>0</v>
      </c>
    </row>
    <row r="233" spans="1:7">
      <c r="E233" s="104"/>
    </row>
    <row r="234" spans="1:7" ht="210">
      <c r="A234" s="3" t="s">
        <v>46</v>
      </c>
      <c r="B234" s="17" t="s">
        <v>249</v>
      </c>
      <c r="C234" s="31"/>
      <c r="D234" s="26"/>
      <c r="E234" s="106"/>
      <c r="F234" s="33"/>
      <c r="G234" s="32"/>
    </row>
    <row r="235" spans="1:7">
      <c r="B235" s="17"/>
      <c r="C235" s="31"/>
      <c r="D235" s="26"/>
      <c r="E235" s="106"/>
      <c r="F235" s="33"/>
      <c r="G235" s="32"/>
    </row>
    <row r="236" spans="1:7">
      <c r="B236" s="17"/>
      <c r="C236" s="31"/>
      <c r="D236" s="26"/>
      <c r="E236" s="106"/>
      <c r="F236" s="33"/>
      <c r="G236" s="32"/>
    </row>
    <row r="237" spans="1:7">
      <c r="B237" s="17"/>
      <c r="C237" s="31"/>
      <c r="D237" s="26"/>
      <c r="E237" s="106"/>
      <c r="F237" s="33"/>
      <c r="G237" s="32"/>
    </row>
    <row r="238" spans="1:7">
      <c r="B238" s="17"/>
      <c r="C238" s="31"/>
      <c r="D238" s="26"/>
      <c r="E238" s="106"/>
      <c r="F238" s="33"/>
      <c r="G238" s="32"/>
    </row>
    <row r="239" spans="1:7">
      <c r="B239" s="17"/>
      <c r="C239" s="31"/>
      <c r="D239" s="26"/>
      <c r="E239" s="106"/>
      <c r="F239" s="33"/>
      <c r="G239" s="32"/>
    </row>
    <row r="240" spans="1:7">
      <c r="B240" s="17"/>
      <c r="C240" s="31"/>
      <c r="D240" s="26"/>
      <c r="E240" s="106"/>
      <c r="F240" s="33"/>
      <c r="G240" s="32"/>
    </row>
    <row r="241" spans="1:7">
      <c r="B241" s="17"/>
      <c r="C241" s="31"/>
      <c r="D241" s="26"/>
      <c r="E241" s="106"/>
      <c r="F241" s="33"/>
      <c r="G241" s="32"/>
    </row>
    <row r="242" spans="1:7" ht="30">
      <c r="A242" s="3" t="s">
        <v>114</v>
      </c>
      <c r="B242" s="17" t="s">
        <v>250</v>
      </c>
      <c r="C242" s="36"/>
      <c r="D242" s="37"/>
      <c r="E242" s="107"/>
      <c r="F242" s="38"/>
      <c r="G242" s="39"/>
    </row>
    <row r="243" spans="1:7">
      <c r="B243" s="17"/>
      <c r="C243" s="36"/>
      <c r="D243" s="37"/>
      <c r="E243" s="107"/>
      <c r="F243" s="38"/>
      <c r="G243" s="39"/>
    </row>
    <row r="244" spans="1:7">
      <c r="B244" s="17" t="s">
        <v>59</v>
      </c>
      <c r="C244" s="36">
        <v>2</v>
      </c>
      <c r="D244" s="37"/>
      <c r="E244" s="101">
        <v>0</v>
      </c>
      <c r="G244" s="69">
        <f>C244*E244</f>
        <v>0</v>
      </c>
    </row>
    <row r="245" spans="1:7">
      <c r="B245" s="17"/>
      <c r="C245" s="31"/>
      <c r="D245" s="26"/>
      <c r="E245" s="106"/>
      <c r="F245" s="33"/>
      <c r="G245" s="32"/>
    </row>
    <row r="246" spans="1:7" ht="15.75" thickBot="1">
      <c r="A246" s="79"/>
      <c r="B246" s="74" t="s">
        <v>108</v>
      </c>
      <c r="C246" s="75"/>
      <c r="D246" s="76"/>
      <c r="E246" s="103"/>
      <c r="F246" s="75" t="s">
        <v>41</v>
      </c>
      <c r="G246" s="75">
        <f>SUM(G228:G245)</f>
        <v>0</v>
      </c>
    </row>
    <row r="247" spans="1:7" ht="15.75" thickTop="1">
      <c r="E247" s="104"/>
    </row>
    <row r="248" spans="1:7">
      <c r="A248" s="5" t="s">
        <v>109</v>
      </c>
      <c r="B248" s="6" t="s">
        <v>110</v>
      </c>
      <c r="E248" s="104"/>
    </row>
    <row r="249" spans="1:7">
      <c r="A249" s="5"/>
      <c r="B249" s="6"/>
      <c r="E249" s="104"/>
    </row>
    <row r="250" spans="1:7" ht="105">
      <c r="A250" s="23" t="s">
        <v>111</v>
      </c>
      <c r="B250" s="24" t="s">
        <v>112</v>
      </c>
      <c r="E250" s="104"/>
    </row>
    <row r="251" spans="1:7">
      <c r="A251" s="5"/>
      <c r="B251" s="6"/>
      <c r="E251" s="104"/>
    </row>
    <row r="252" spans="1:7" ht="60">
      <c r="A252" s="3" t="s">
        <v>19</v>
      </c>
      <c r="B252" s="2" t="s">
        <v>113</v>
      </c>
      <c r="E252" s="104"/>
    </row>
    <row r="253" spans="1:7">
      <c r="E253" s="104"/>
    </row>
    <row r="254" spans="1:7" ht="15" customHeight="1">
      <c r="A254" s="3" t="s">
        <v>114</v>
      </c>
      <c r="B254" s="2" t="s">
        <v>238</v>
      </c>
      <c r="C254" s="1">
        <f>C182+C188+C200+0.01</f>
        <v>638.00319999999999</v>
      </c>
      <c r="E254" s="101">
        <v>0</v>
      </c>
      <c r="G254" s="69">
        <f>C254*E254</f>
        <v>0</v>
      </c>
    </row>
    <row r="255" spans="1:7">
      <c r="E255" s="104"/>
    </row>
    <row r="256" spans="1:7">
      <c r="A256" s="3" t="s">
        <v>115</v>
      </c>
      <c r="B256" s="2" t="s">
        <v>239</v>
      </c>
      <c r="C256" s="1">
        <f>C184+C190-0.01</f>
        <v>91.996800000000007</v>
      </c>
      <c r="E256" s="101">
        <v>0</v>
      </c>
      <c r="G256" s="69">
        <f>C256*E256</f>
        <v>0</v>
      </c>
    </row>
    <row r="257" spans="1:7">
      <c r="E257" s="104"/>
    </row>
    <row r="258" spans="1:7">
      <c r="A258" s="3" t="s">
        <v>116</v>
      </c>
      <c r="B258" s="2" t="s">
        <v>240</v>
      </c>
      <c r="C258" s="1">
        <f>C194</f>
        <v>100.9982</v>
      </c>
      <c r="E258" s="101">
        <v>0</v>
      </c>
      <c r="G258" s="69">
        <f>C258*E258</f>
        <v>0</v>
      </c>
    </row>
    <row r="259" spans="1:7">
      <c r="E259" s="104"/>
    </row>
    <row r="260" spans="1:7">
      <c r="A260" s="3" t="s">
        <v>218</v>
      </c>
      <c r="B260" s="2" t="s">
        <v>241</v>
      </c>
      <c r="C260" s="1">
        <f>C196</f>
        <v>18.004000000000001</v>
      </c>
      <c r="E260" s="101">
        <v>0</v>
      </c>
      <c r="G260" s="69">
        <f>C260*E260</f>
        <v>0</v>
      </c>
    </row>
    <row r="261" spans="1:7">
      <c r="E261" s="104"/>
    </row>
    <row r="262" spans="1:7" ht="60">
      <c r="A262" s="3" t="s">
        <v>46</v>
      </c>
      <c r="B262" s="2" t="s">
        <v>132</v>
      </c>
      <c r="E262" s="104"/>
    </row>
    <row r="263" spans="1:7">
      <c r="E263" s="104"/>
    </row>
    <row r="264" spans="1:7">
      <c r="B264" s="2" t="s">
        <v>56</v>
      </c>
      <c r="C264" s="1">
        <f>5*24</f>
        <v>120</v>
      </c>
      <c r="E264" s="101">
        <v>0</v>
      </c>
      <c r="G264" s="69">
        <f>C264*E264</f>
        <v>0</v>
      </c>
    </row>
    <row r="265" spans="1:7">
      <c r="E265" s="104"/>
    </row>
    <row r="266" spans="1:7">
      <c r="A266" s="3" t="s">
        <v>50</v>
      </c>
      <c r="B266" s="2" t="s">
        <v>117</v>
      </c>
      <c r="E266" s="104"/>
    </row>
    <row r="267" spans="1:7">
      <c r="E267" s="104"/>
    </row>
    <row r="268" spans="1:7" ht="15" customHeight="1">
      <c r="A268" s="3" t="s">
        <v>114</v>
      </c>
      <c r="B268" s="2" t="s">
        <v>242</v>
      </c>
      <c r="C268" s="1">
        <f>C254</f>
        <v>638.00319999999999</v>
      </c>
      <c r="E268" s="101">
        <v>0</v>
      </c>
      <c r="G268" s="69">
        <f>C268*E268</f>
        <v>0</v>
      </c>
    </row>
    <row r="269" spans="1:7" ht="15" customHeight="1">
      <c r="E269" s="104"/>
    </row>
    <row r="270" spans="1:7" ht="15" customHeight="1">
      <c r="A270" s="3" t="s">
        <v>115</v>
      </c>
      <c r="B270" s="2" t="s">
        <v>239</v>
      </c>
      <c r="C270" s="1">
        <f>C256</f>
        <v>91.996800000000007</v>
      </c>
      <c r="E270" s="101">
        <v>0</v>
      </c>
      <c r="G270" s="69">
        <f>C270*E270</f>
        <v>0</v>
      </c>
    </row>
    <row r="271" spans="1:7">
      <c r="E271" s="104"/>
    </row>
    <row r="272" spans="1:7">
      <c r="A272" s="3" t="s">
        <v>116</v>
      </c>
      <c r="B272" s="2" t="s">
        <v>243</v>
      </c>
      <c r="C272" s="1">
        <f>C258</f>
        <v>100.9982</v>
      </c>
      <c r="E272" s="101">
        <v>0</v>
      </c>
      <c r="G272" s="69">
        <f>C272*E272</f>
        <v>0</v>
      </c>
    </row>
    <row r="273" spans="1:7">
      <c r="E273" s="104"/>
    </row>
    <row r="274" spans="1:7">
      <c r="A274" s="3" t="s">
        <v>218</v>
      </c>
      <c r="B274" s="2" t="s">
        <v>241</v>
      </c>
      <c r="C274" s="1">
        <f>C260</f>
        <v>18.004000000000001</v>
      </c>
      <c r="E274" s="101">
        <v>0</v>
      </c>
      <c r="G274" s="69">
        <f>C274*E274</f>
        <v>0</v>
      </c>
    </row>
    <row r="275" spans="1:7">
      <c r="E275" s="104"/>
    </row>
    <row r="276" spans="1:7">
      <c r="E276" s="104"/>
    </row>
    <row r="277" spans="1:7">
      <c r="E277" s="104"/>
    </row>
    <row r="278" spans="1:7" ht="45">
      <c r="A278" s="3" t="s">
        <v>54</v>
      </c>
      <c r="B278" s="2" t="s">
        <v>200</v>
      </c>
      <c r="E278" s="104"/>
    </row>
    <row r="279" spans="1:7">
      <c r="E279" s="104"/>
    </row>
    <row r="280" spans="1:7">
      <c r="B280" s="2" t="s">
        <v>56</v>
      </c>
      <c r="C280" s="1">
        <f>C194</f>
        <v>100.9982</v>
      </c>
      <c r="E280" s="101">
        <v>0</v>
      </c>
      <c r="G280" s="69">
        <f>C280*E280</f>
        <v>0</v>
      </c>
    </row>
    <row r="281" spans="1:7">
      <c r="E281" s="104"/>
    </row>
    <row r="282" spans="1:7">
      <c r="A282" s="3" t="s">
        <v>57</v>
      </c>
      <c r="B282" s="2" t="s">
        <v>183</v>
      </c>
      <c r="E282" s="104"/>
    </row>
    <row r="283" spans="1:7">
      <c r="E283" s="104"/>
    </row>
    <row r="284" spans="1:7">
      <c r="B284" s="2" t="s">
        <v>59</v>
      </c>
      <c r="C284" s="1">
        <v>4</v>
      </c>
      <c r="E284" s="101">
        <v>0</v>
      </c>
      <c r="G284" s="69">
        <f>C284*E284</f>
        <v>0</v>
      </c>
    </row>
    <row r="285" spans="1:7">
      <c r="E285" s="104"/>
    </row>
    <row r="286" spans="1:7" ht="60">
      <c r="A286" s="3" t="s">
        <v>58</v>
      </c>
      <c r="B286" s="2" t="s">
        <v>123</v>
      </c>
      <c r="E286" s="104"/>
    </row>
    <row r="287" spans="1:7">
      <c r="E287" s="104"/>
    </row>
    <row r="288" spans="1:7">
      <c r="B288" s="2" t="s">
        <v>56</v>
      </c>
      <c r="C288" s="1">
        <f>C204+C272</f>
        <v>692.9932</v>
      </c>
      <c r="E288" s="101">
        <v>0</v>
      </c>
      <c r="G288" s="69">
        <f>C288*E288</f>
        <v>0</v>
      </c>
    </row>
    <row r="289" spans="1:7">
      <c r="E289" s="102"/>
      <c r="G289" s="72"/>
    </row>
    <row r="290" spans="1:7" ht="15.75" thickBot="1">
      <c r="A290" s="79"/>
      <c r="B290" s="74" t="s">
        <v>124</v>
      </c>
      <c r="C290" s="75"/>
      <c r="D290" s="76"/>
      <c r="E290" s="103"/>
      <c r="F290" s="75" t="s">
        <v>41</v>
      </c>
      <c r="G290" s="75">
        <f>SUM(G248:G289)</f>
        <v>0</v>
      </c>
    </row>
    <row r="291" spans="1:7" ht="15.75" thickTop="1">
      <c r="E291" s="104"/>
    </row>
    <row r="292" spans="1:7">
      <c r="A292" s="5" t="s">
        <v>125</v>
      </c>
      <c r="B292" s="6" t="s">
        <v>126</v>
      </c>
      <c r="C292" s="25"/>
      <c r="D292" s="30"/>
      <c r="E292" s="105"/>
      <c r="F292" s="25"/>
      <c r="G292" s="25"/>
    </row>
    <row r="293" spans="1:7">
      <c r="E293" s="104"/>
    </row>
    <row r="294" spans="1:7" ht="45">
      <c r="A294" s="3" t="s">
        <v>19</v>
      </c>
      <c r="B294" s="2" t="s">
        <v>127</v>
      </c>
      <c r="E294" s="104"/>
    </row>
    <row r="295" spans="1:7">
      <c r="E295" s="104"/>
    </row>
    <row r="296" spans="1:7">
      <c r="B296" s="2" t="s">
        <v>59</v>
      </c>
      <c r="C296" s="1">
        <v>4</v>
      </c>
      <c r="E296" s="101">
        <v>0</v>
      </c>
      <c r="G296" s="69">
        <f>C296*E296</f>
        <v>0</v>
      </c>
    </row>
    <row r="297" spans="1:7">
      <c r="E297" s="104"/>
    </row>
    <row r="298" spans="1:7" ht="60">
      <c r="A298" s="3" t="s">
        <v>46</v>
      </c>
      <c r="B298" s="2" t="s">
        <v>128</v>
      </c>
      <c r="E298" s="104"/>
    </row>
    <row r="299" spans="1:7">
      <c r="E299" s="104"/>
    </row>
    <row r="300" spans="1:7">
      <c r="B300" s="2" t="s">
        <v>59</v>
      </c>
      <c r="C300" s="1">
        <v>16</v>
      </c>
      <c r="E300" s="101">
        <v>0</v>
      </c>
      <c r="G300" s="69">
        <f>C300*E300</f>
        <v>0</v>
      </c>
    </row>
    <row r="301" spans="1:7">
      <c r="E301" s="102"/>
      <c r="G301" s="72"/>
    </row>
    <row r="302" spans="1:7" ht="15.75" thickBot="1">
      <c r="A302" s="79"/>
      <c r="B302" s="74" t="s">
        <v>129</v>
      </c>
      <c r="C302" s="75"/>
      <c r="D302" s="76"/>
      <c r="E302" s="103"/>
      <c r="F302" s="75" t="s">
        <v>41</v>
      </c>
      <c r="G302" s="75">
        <f>SUM(G292:G301)</f>
        <v>0</v>
      </c>
    </row>
    <row r="303" spans="1:7" ht="15.75" thickTop="1">
      <c r="E303" s="104"/>
    </row>
    <row r="304" spans="1:7">
      <c r="A304" s="5" t="s">
        <v>134</v>
      </c>
      <c r="B304" s="6" t="s">
        <v>135</v>
      </c>
      <c r="E304" s="104"/>
    </row>
    <row r="305" spans="1:7">
      <c r="E305" s="104"/>
    </row>
    <row r="306" spans="1:7" ht="60">
      <c r="A306" s="3" t="s">
        <v>111</v>
      </c>
      <c r="B306" s="2" t="s">
        <v>139</v>
      </c>
      <c r="E306" s="104"/>
    </row>
    <row r="307" spans="1:7">
      <c r="E307" s="104"/>
    </row>
    <row r="308" spans="1:7" ht="105">
      <c r="B308" s="2" t="s">
        <v>141</v>
      </c>
      <c r="E308" s="104"/>
    </row>
    <row r="309" spans="1:7">
      <c r="E309" s="104"/>
    </row>
    <row r="310" spans="1:7" ht="180">
      <c r="A310" s="3" t="s">
        <v>19</v>
      </c>
      <c r="B310" s="2" t="s">
        <v>244</v>
      </c>
      <c r="E310" s="104"/>
    </row>
    <row r="311" spans="1:7">
      <c r="E311" s="104"/>
    </row>
    <row r="312" spans="1:7">
      <c r="B312" s="2" t="s">
        <v>59</v>
      </c>
      <c r="C312" s="1">
        <v>1</v>
      </c>
      <c r="E312" s="101">
        <v>0</v>
      </c>
      <c r="G312" s="69">
        <f>C312*E312</f>
        <v>0</v>
      </c>
    </row>
    <row r="313" spans="1:7">
      <c r="E313" s="104"/>
    </row>
    <row r="314" spans="1:7" ht="45">
      <c r="A314" s="3" t="s">
        <v>46</v>
      </c>
      <c r="B314" s="2" t="s">
        <v>142</v>
      </c>
      <c r="E314" s="104"/>
    </row>
    <row r="315" spans="1:7">
      <c r="E315" s="104"/>
    </row>
    <row r="316" spans="1:7">
      <c r="A316" s="3" t="s">
        <v>115</v>
      </c>
      <c r="B316" s="2" t="s">
        <v>245</v>
      </c>
      <c r="C316" s="1">
        <f>(5*6+11)*0.8-0.8</f>
        <v>32.000000000000007</v>
      </c>
      <c r="E316" s="101">
        <v>0</v>
      </c>
      <c r="G316" s="69">
        <f>C316*E316</f>
        <v>0</v>
      </c>
    </row>
    <row r="317" spans="1:7">
      <c r="E317" s="104"/>
    </row>
    <row r="318" spans="1:7">
      <c r="A318" s="3" t="s">
        <v>115</v>
      </c>
      <c r="B318" s="2" t="s">
        <v>144</v>
      </c>
      <c r="C318" s="1">
        <f>(5+3*6+20+30)*0.8-0.4</f>
        <v>58.000000000000007</v>
      </c>
      <c r="E318" s="101">
        <v>0</v>
      </c>
      <c r="G318" s="69">
        <f>C318*E318</f>
        <v>0</v>
      </c>
    </row>
    <row r="319" spans="1:7">
      <c r="E319" s="104"/>
    </row>
    <row r="320" spans="1:7" ht="45">
      <c r="A320" s="3" t="s">
        <v>50</v>
      </c>
      <c r="B320" s="2" t="s">
        <v>192</v>
      </c>
      <c r="E320" s="104"/>
    </row>
    <row r="321" spans="1:7">
      <c r="E321" s="104"/>
    </row>
    <row r="322" spans="1:7">
      <c r="B322" s="2" t="s">
        <v>59</v>
      </c>
      <c r="C322" s="1">
        <v>40</v>
      </c>
      <c r="E322" s="101">
        <v>0</v>
      </c>
      <c r="G322" s="69">
        <f>C322*E322</f>
        <v>0</v>
      </c>
    </row>
    <row r="323" spans="1:7">
      <c r="E323" s="104"/>
    </row>
    <row r="324" spans="1:7" ht="194.25" customHeight="1">
      <c r="A324" s="3" t="s">
        <v>52</v>
      </c>
      <c r="B324" s="2" t="s">
        <v>184</v>
      </c>
      <c r="E324" s="104"/>
    </row>
    <row r="325" spans="1:7">
      <c r="E325" s="104"/>
    </row>
    <row r="326" spans="1:7">
      <c r="A326" s="3" t="s">
        <v>114</v>
      </c>
      <c r="B326" s="2" t="s">
        <v>246</v>
      </c>
      <c r="C326" s="1">
        <f>C316</f>
        <v>32.000000000000007</v>
      </c>
      <c r="E326" s="101">
        <v>0</v>
      </c>
      <c r="G326" s="69">
        <f>C326*E326</f>
        <v>0</v>
      </c>
    </row>
    <row r="327" spans="1:7">
      <c r="E327" s="104"/>
    </row>
    <row r="328" spans="1:7">
      <c r="A328" s="3" t="s">
        <v>115</v>
      </c>
      <c r="B328" s="2" t="s">
        <v>147</v>
      </c>
      <c r="C328" s="1">
        <f>C318</f>
        <v>58.000000000000007</v>
      </c>
      <c r="E328" s="101">
        <v>0</v>
      </c>
      <c r="G328" s="69">
        <f>C328*E328</f>
        <v>0</v>
      </c>
    </row>
    <row r="329" spans="1:7">
      <c r="E329" s="104"/>
    </row>
    <row r="330" spans="1:7" ht="15.75" thickBot="1">
      <c r="A330" s="79"/>
      <c r="B330" s="81" t="s">
        <v>153</v>
      </c>
      <c r="C330" s="82"/>
      <c r="D330" s="83"/>
      <c r="E330" s="109"/>
      <c r="F330" s="84" t="s">
        <v>41</v>
      </c>
      <c r="G330" s="85">
        <f>SUM(G304:G329)</f>
        <v>0</v>
      </c>
    </row>
    <row r="331" spans="1:7" ht="15.75" thickTop="1">
      <c r="B331" s="20"/>
      <c r="C331" s="31"/>
      <c r="D331" s="26"/>
      <c r="E331" s="106"/>
      <c r="F331" s="33"/>
      <c r="G331" s="32"/>
    </row>
    <row r="332" spans="1:7">
      <c r="A332" s="5" t="s">
        <v>136</v>
      </c>
      <c r="B332" s="6" t="s">
        <v>137</v>
      </c>
      <c r="E332" s="104"/>
      <c r="F332" s="34"/>
    </row>
    <row r="333" spans="1:7">
      <c r="E333" s="104"/>
      <c r="F333" s="34"/>
    </row>
    <row r="334" spans="1:7" ht="135">
      <c r="A334" s="3" t="s">
        <v>111</v>
      </c>
      <c r="B334" s="2" t="s">
        <v>140</v>
      </c>
      <c r="E334" s="104"/>
      <c r="F334" s="34"/>
    </row>
    <row r="335" spans="1:7">
      <c r="E335" s="104"/>
      <c r="F335" s="34"/>
    </row>
    <row r="336" spans="1:7" ht="90">
      <c r="A336" s="3" t="s">
        <v>19</v>
      </c>
      <c r="B336" s="17" t="s">
        <v>156</v>
      </c>
      <c r="E336" s="104"/>
      <c r="F336" s="34"/>
    </row>
    <row r="337" spans="1:7">
      <c r="B337" s="21"/>
      <c r="E337" s="104"/>
      <c r="F337" s="34"/>
    </row>
    <row r="338" spans="1:7">
      <c r="B338" s="2" t="s">
        <v>45</v>
      </c>
      <c r="C338" s="1">
        <f>C148</f>
        <v>1813.0046</v>
      </c>
      <c r="E338" s="101">
        <v>0</v>
      </c>
      <c r="G338" s="69">
        <f>C338*E338</f>
        <v>0</v>
      </c>
    </row>
    <row r="339" spans="1:7">
      <c r="E339" s="104"/>
      <c r="F339" s="34"/>
    </row>
    <row r="340" spans="1:7" ht="90" customHeight="1">
      <c r="A340" s="3" t="s">
        <v>154</v>
      </c>
      <c r="B340" s="17" t="s">
        <v>155</v>
      </c>
      <c r="E340" s="104"/>
      <c r="F340" s="34"/>
    </row>
    <row r="341" spans="1:7">
      <c r="E341" s="104"/>
      <c r="F341" s="34"/>
    </row>
    <row r="342" spans="1:7">
      <c r="B342" s="2" t="s">
        <v>45</v>
      </c>
      <c r="C342" s="1">
        <f>C338</f>
        <v>1813.0046</v>
      </c>
      <c r="E342" s="101">
        <v>0</v>
      </c>
      <c r="G342" s="69">
        <f>C342*E342</f>
        <v>0</v>
      </c>
    </row>
    <row r="343" spans="1:7">
      <c r="E343" s="104"/>
      <c r="F343" s="34"/>
    </row>
    <row r="344" spans="1:7" ht="255">
      <c r="A344" s="3" t="s">
        <v>50</v>
      </c>
      <c r="B344" s="17" t="s">
        <v>173</v>
      </c>
      <c r="E344" s="104"/>
      <c r="F344" s="34"/>
    </row>
    <row r="345" spans="1:7">
      <c r="B345" s="17"/>
      <c r="E345" s="104"/>
      <c r="F345" s="34"/>
    </row>
    <row r="346" spans="1:7">
      <c r="A346" s="3" t="s">
        <v>114</v>
      </c>
      <c r="B346" s="17" t="s">
        <v>248</v>
      </c>
      <c r="C346" s="1">
        <v>9</v>
      </c>
      <c r="E346" s="101">
        <v>0</v>
      </c>
      <c r="G346" s="69">
        <f>C346*E346</f>
        <v>0</v>
      </c>
    </row>
    <row r="347" spans="1:7">
      <c r="B347" s="17"/>
      <c r="E347" s="104"/>
      <c r="F347" s="34"/>
    </row>
    <row r="348" spans="1:7">
      <c r="A348" s="3" t="s">
        <v>115</v>
      </c>
      <c r="B348" s="17" t="s">
        <v>147</v>
      </c>
      <c r="C348" s="1">
        <v>15</v>
      </c>
      <c r="E348" s="101">
        <v>0</v>
      </c>
      <c r="G348" s="69">
        <f>C348*E348</f>
        <v>0</v>
      </c>
    </row>
    <row r="349" spans="1:7">
      <c r="B349" s="17"/>
      <c r="E349" s="104"/>
      <c r="F349" s="34"/>
    </row>
    <row r="350" spans="1:7" ht="45">
      <c r="A350" s="3" t="s">
        <v>52</v>
      </c>
      <c r="B350" s="17" t="s">
        <v>158</v>
      </c>
      <c r="E350" s="104"/>
      <c r="F350" s="34"/>
    </row>
    <row r="351" spans="1:7">
      <c r="B351" s="17"/>
      <c r="E351" s="104"/>
      <c r="F351" s="34"/>
    </row>
    <row r="352" spans="1:7">
      <c r="B352" s="17" t="s">
        <v>45</v>
      </c>
      <c r="C352" s="1">
        <v>1</v>
      </c>
      <c r="E352" s="101">
        <v>0</v>
      </c>
      <c r="G352" s="69">
        <f>C352*E352</f>
        <v>0</v>
      </c>
    </row>
    <row r="353" spans="1:7">
      <c r="B353" s="17"/>
      <c r="E353" s="104"/>
      <c r="F353" s="34"/>
    </row>
    <row r="354" spans="1:7" ht="15.75" thickBot="1">
      <c r="A354" s="79"/>
      <c r="B354" s="74" t="s">
        <v>160</v>
      </c>
      <c r="C354" s="75"/>
      <c r="D354" s="76"/>
      <c r="E354" s="103"/>
      <c r="F354" s="86" t="s">
        <v>41</v>
      </c>
      <c r="G354" s="75">
        <f>SUM(G332:G353)</f>
        <v>0</v>
      </c>
    </row>
    <row r="355" spans="1:7" ht="15.75" thickTop="1">
      <c r="F355" s="34"/>
    </row>
    <row r="356" spans="1:7">
      <c r="A356" s="5" t="s">
        <v>161</v>
      </c>
      <c r="B356" s="6" t="s">
        <v>162</v>
      </c>
    </row>
    <row r="358" spans="1:7" ht="105" customHeight="1">
      <c r="A358" s="3">
        <v>1</v>
      </c>
      <c r="B358" s="2" t="s">
        <v>163</v>
      </c>
      <c r="G358" s="71">
        <f>(G102+G226+G246+G290+G302+G330+G354)*0.1</f>
        <v>0</v>
      </c>
    </row>
    <row r="359" spans="1:7" ht="18" customHeight="1">
      <c r="G359" s="41"/>
    </row>
    <row r="360" spans="1:7" ht="15.75" thickBot="1">
      <c r="A360" s="79"/>
      <c r="B360" s="74" t="s">
        <v>164</v>
      </c>
      <c r="C360" s="75"/>
      <c r="D360" s="76"/>
      <c r="E360" s="75"/>
      <c r="F360" s="75" t="s">
        <v>41</v>
      </c>
      <c r="G360" s="75">
        <f>SUM(G356:G359)</f>
        <v>0</v>
      </c>
    </row>
    <row r="361" spans="1:7" ht="15.75" thickTop="1">
      <c r="A361" s="42"/>
      <c r="B361" s="43"/>
      <c r="C361" s="44"/>
      <c r="D361" s="45"/>
      <c r="E361" s="44"/>
      <c r="F361" s="44"/>
      <c r="G361" s="44"/>
    </row>
    <row r="363" spans="1:7">
      <c r="A363" s="95"/>
      <c r="B363" s="96" t="s">
        <v>165</v>
      </c>
    </row>
    <row r="365" spans="1:7">
      <c r="A365" s="3" t="s">
        <v>17</v>
      </c>
      <c r="B365" s="2" t="s">
        <v>18</v>
      </c>
      <c r="G365" s="69">
        <f>G102</f>
        <v>0</v>
      </c>
    </row>
    <row r="367" spans="1:7">
      <c r="A367" s="3" t="s">
        <v>42</v>
      </c>
      <c r="B367" s="2" t="s">
        <v>43</v>
      </c>
      <c r="G367" s="69">
        <f>G226</f>
        <v>0</v>
      </c>
    </row>
    <row r="369" spans="1:7">
      <c r="A369" s="3" t="s">
        <v>105</v>
      </c>
      <c r="B369" s="2" t="s">
        <v>106</v>
      </c>
      <c r="G369" s="69">
        <f>G246</f>
        <v>0</v>
      </c>
    </row>
    <row r="371" spans="1:7">
      <c r="A371" s="3" t="s">
        <v>109</v>
      </c>
      <c r="B371" s="2" t="s">
        <v>110</v>
      </c>
      <c r="G371" s="69">
        <f>G290</f>
        <v>0</v>
      </c>
    </row>
    <row r="373" spans="1:7">
      <c r="A373" s="3" t="s">
        <v>125</v>
      </c>
      <c r="B373" s="2" t="s">
        <v>126</v>
      </c>
      <c r="G373" s="69">
        <f>G302</f>
        <v>0</v>
      </c>
    </row>
    <row r="375" spans="1:7">
      <c r="A375" s="3" t="s">
        <v>134</v>
      </c>
      <c r="B375" s="2" t="s">
        <v>135</v>
      </c>
      <c r="G375" s="69">
        <f>G330</f>
        <v>0</v>
      </c>
    </row>
    <row r="377" spans="1:7">
      <c r="A377" s="3" t="s">
        <v>136</v>
      </c>
      <c r="B377" s="2" t="s">
        <v>166</v>
      </c>
      <c r="G377" s="69">
        <f>G354</f>
        <v>0</v>
      </c>
    </row>
    <row r="379" spans="1:7">
      <c r="A379" s="3" t="s">
        <v>161</v>
      </c>
      <c r="B379" s="2" t="s">
        <v>167</v>
      </c>
      <c r="G379" s="69">
        <f>G360</f>
        <v>0</v>
      </c>
    </row>
    <row r="381" spans="1:7" ht="15.75" thickBot="1">
      <c r="A381" s="73"/>
      <c r="B381" s="74" t="s">
        <v>168</v>
      </c>
      <c r="C381" s="88"/>
      <c r="D381" s="89"/>
      <c r="E381" s="88"/>
      <c r="F381" s="88"/>
      <c r="G381" s="75">
        <f>SUM(G363:G380)</f>
        <v>0</v>
      </c>
    </row>
    <row r="382" spans="1:7" ht="15.75" thickTop="1"/>
    <row r="387" spans="2:7">
      <c r="B387" s="17"/>
      <c r="C387" s="31"/>
      <c r="D387" s="26"/>
      <c r="E387" s="26"/>
      <c r="F387" s="33"/>
      <c r="G387" s="32"/>
    </row>
    <row r="388" spans="2:7">
      <c r="B388" s="17"/>
      <c r="C388" s="31"/>
      <c r="D388" s="26"/>
      <c r="E388" s="26"/>
      <c r="F388" s="33"/>
      <c r="G388" s="32"/>
    </row>
    <row r="389" spans="2:7">
      <c r="B389" s="17"/>
      <c r="C389" s="31"/>
      <c r="D389" s="26"/>
      <c r="E389" s="26"/>
      <c r="F389" s="33"/>
      <c r="G389" s="32"/>
    </row>
    <row r="390" spans="2:7">
      <c r="B390" s="17"/>
      <c r="C390" s="31"/>
      <c r="D390" s="26"/>
      <c r="E390" s="26"/>
      <c r="F390" s="33"/>
      <c r="G390" s="32"/>
    </row>
    <row r="391" spans="2:7">
      <c r="B391" s="17"/>
      <c r="C391" s="31"/>
      <c r="D391" s="26"/>
      <c r="E391" s="26"/>
      <c r="F391" s="33"/>
      <c r="G391" s="32"/>
    </row>
    <row r="392" spans="2:7">
      <c r="B392" s="17"/>
      <c r="C392" s="31"/>
      <c r="D392" s="26"/>
      <c r="E392" s="26"/>
      <c r="F392" s="33"/>
      <c r="G392" s="32"/>
    </row>
    <row r="393" spans="2:7">
      <c r="B393" s="17"/>
      <c r="C393" s="31"/>
      <c r="D393" s="26"/>
      <c r="E393" s="26"/>
      <c r="F393" s="33"/>
      <c r="G393" s="32"/>
    </row>
    <row r="394" spans="2:7">
      <c r="B394" s="17"/>
      <c r="C394" s="31"/>
      <c r="D394" s="26"/>
      <c r="E394" s="26"/>
      <c r="F394" s="33"/>
      <c r="G394" s="32"/>
    </row>
    <row r="395" spans="2:7">
      <c r="B395" s="17"/>
      <c r="C395" s="31"/>
      <c r="D395" s="26"/>
      <c r="E395" s="26"/>
      <c r="F395" s="33"/>
      <c r="G395" s="32"/>
    </row>
    <row r="396" spans="2:7">
      <c r="B396" s="17"/>
      <c r="C396" s="31"/>
      <c r="D396" s="26"/>
      <c r="E396" s="26"/>
      <c r="F396" s="33"/>
      <c r="G396" s="32"/>
    </row>
    <row r="397" spans="2:7">
      <c r="B397" s="17"/>
      <c r="C397" s="31"/>
      <c r="D397" s="26"/>
      <c r="E397" s="26"/>
      <c r="F397" s="33"/>
      <c r="G397" s="32"/>
    </row>
    <row r="398" spans="2:7">
      <c r="B398" s="17"/>
      <c r="C398" s="31"/>
      <c r="D398" s="26"/>
      <c r="E398" s="26"/>
      <c r="F398" s="33"/>
      <c r="G398" s="32"/>
    </row>
    <row r="399" spans="2:7">
      <c r="B399" s="17"/>
      <c r="C399" s="31"/>
      <c r="D399" s="26"/>
      <c r="E399" s="26"/>
      <c r="F399" s="33"/>
      <c r="G399" s="32"/>
    </row>
    <row r="400" spans="2:7">
      <c r="B400" s="17"/>
      <c r="C400" s="31"/>
      <c r="D400" s="26"/>
      <c r="E400" s="26"/>
      <c r="F400" s="33"/>
      <c r="G400" s="32"/>
    </row>
    <row r="401" spans="2:7">
      <c r="B401" s="17"/>
      <c r="C401" s="31"/>
      <c r="D401" s="26"/>
      <c r="E401" s="26"/>
      <c r="F401" s="33"/>
      <c r="G401" s="32"/>
    </row>
    <row r="402" spans="2:7">
      <c r="B402" s="17"/>
      <c r="C402" s="31"/>
      <c r="D402" s="26"/>
      <c r="E402" s="26"/>
      <c r="F402" s="33"/>
      <c r="G402" s="32"/>
    </row>
    <row r="403" spans="2:7">
      <c r="B403" s="17"/>
      <c r="C403" s="31"/>
      <c r="D403" s="26"/>
      <c r="E403" s="26"/>
      <c r="F403" s="33"/>
      <c r="G403" s="32"/>
    </row>
    <row r="404" spans="2:7">
      <c r="B404" s="17"/>
      <c r="C404" s="31"/>
      <c r="D404" s="26"/>
      <c r="E404" s="26"/>
      <c r="F404" s="33"/>
      <c r="G404" s="32"/>
    </row>
    <row r="405" spans="2:7">
      <c r="B405" s="17"/>
      <c r="C405" s="31"/>
      <c r="D405" s="26"/>
      <c r="E405" s="26"/>
      <c r="F405" s="33"/>
      <c r="G405" s="32"/>
    </row>
    <row r="406" spans="2:7">
      <c r="B406" s="17"/>
      <c r="C406" s="31"/>
      <c r="D406" s="26"/>
      <c r="E406" s="26"/>
      <c r="F406" s="33"/>
      <c r="G406" s="32"/>
    </row>
    <row r="407" spans="2:7">
      <c r="B407" s="17"/>
      <c r="C407" s="31"/>
      <c r="D407" s="26"/>
      <c r="E407" s="26"/>
      <c r="F407" s="33"/>
      <c r="G407" s="32"/>
    </row>
    <row r="408" spans="2:7">
      <c r="B408" s="17"/>
      <c r="C408" s="31"/>
      <c r="D408" s="26"/>
      <c r="E408" s="26"/>
      <c r="F408" s="33"/>
      <c r="G408" s="32"/>
    </row>
    <row r="409" spans="2:7">
      <c r="B409" s="17"/>
      <c r="C409" s="31"/>
      <c r="D409" s="26"/>
      <c r="E409" s="26"/>
      <c r="F409" s="33"/>
      <c r="G409" s="32"/>
    </row>
    <row r="410" spans="2:7">
      <c r="B410" s="17"/>
      <c r="C410" s="31"/>
      <c r="D410" s="26"/>
      <c r="E410" s="26"/>
      <c r="F410" s="33"/>
      <c r="G410" s="32"/>
    </row>
    <row r="411" spans="2:7">
      <c r="B411" s="17"/>
      <c r="C411" s="31"/>
      <c r="D411" s="26"/>
      <c r="E411" s="26"/>
      <c r="F411" s="33"/>
      <c r="G411" s="32"/>
    </row>
    <row r="412" spans="2:7">
      <c r="B412" s="17"/>
      <c r="C412" s="31"/>
      <c r="D412" s="26"/>
      <c r="E412" s="26"/>
      <c r="F412" s="33"/>
      <c r="G412" s="32"/>
    </row>
    <row r="413" spans="2:7">
      <c r="B413" s="17"/>
      <c r="C413" s="31"/>
      <c r="D413" s="26"/>
      <c r="E413" s="26"/>
      <c r="F413" s="33"/>
      <c r="G413" s="32"/>
    </row>
    <row r="414" spans="2:7">
      <c r="B414" s="17"/>
      <c r="C414" s="31"/>
      <c r="D414" s="26"/>
      <c r="E414" s="26"/>
      <c r="F414" s="33"/>
      <c r="G414" s="32"/>
    </row>
    <row r="415" spans="2:7">
      <c r="B415" s="17"/>
      <c r="C415" s="31"/>
      <c r="D415" s="26"/>
      <c r="E415" s="26"/>
      <c r="F415" s="33"/>
      <c r="G415" s="32"/>
    </row>
    <row r="416" spans="2:7">
      <c r="B416" s="17"/>
      <c r="C416" s="31"/>
      <c r="D416" s="26"/>
      <c r="E416" s="26"/>
      <c r="F416" s="33"/>
      <c r="G416" s="32"/>
    </row>
    <row r="417" spans="1:7">
      <c r="A417" s="23"/>
      <c r="B417" s="17"/>
      <c r="C417" s="36"/>
      <c r="D417" s="37"/>
      <c r="E417" s="37"/>
      <c r="F417" s="38"/>
      <c r="G417" s="39"/>
    </row>
    <row r="418" spans="1:7">
      <c r="A418" s="23"/>
      <c r="B418" s="17"/>
      <c r="C418" s="36"/>
      <c r="D418" s="37"/>
      <c r="E418" s="37"/>
      <c r="F418" s="38"/>
      <c r="G418" s="39"/>
    </row>
    <row r="419" spans="1:7">
      <c r="A419" s="23"/>
      <c r="B419" s="17"/>
      <c r="C419" s="36"/>
      <c r="D419" s="37"/>
      <c r="E419" s="37"/>
      <c r="F419" s="38"/>
      <c r="G419" s="39"/>
    </row>
  </sheetData>
  <sheetProtection algorithmName="SHA-512" hashValue="3cRAiCMzz/ifHAjuMXjVngFC8v2bwI85UDVW9dqGvb9F2uIwo/qfFtFe4b8vNsQJOakUA3glD+oAuPsLtLqa0A==" saltValue="P3ax7t7uMUsb2kh2098Quw==" spinCount="100000" sheet="1" objects="1" scenarios="1" selectLockedCells="1"/>
  <mergeCells count="1">
    <mergeCell ref="A2:G2"/>
  </mergeCells>
  <pageMargins left="0.9055118110236221" right="0.51181102362204722" top="0.6692913385826772" bottom="0.55118110236220474" header="0.31496062992125984" footer="0.31496062992125984"/>
  <pageSetup paperSize="9" scale="90"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0280308-3D6B-4980-9069-AE32CF08CCFC}">
  <sheetPr>
    <tabColor rgb="FF00B0F0"/>
  </sheetPr>
  <dimension ref="A1:G386"/>
  <sheetViews>
    <sheetView showGridLines="0" view="pageBreakPreview" zoomScaleNormal="100" zoomScaleSheetLayoutView="100" workbookViewId="0">
      <selection activeCell="E321" sqref="E71:E321"/>
    </sheetView>
  </sheetViews>
  <sheetFormatPr defaultRowHeight="15"/>
  <cols>
    <col min="1" max="1" width="10.5703125" style="3" customWidth="1"/>
    <col min="2" max="2" width="44" style="2" customWidth="1"/>
    <col min="3" max="3" width="9.5703125" style="1" customWidth="1"/>
    <col min="4" max="4" width="3.5703125" style="28" customWidth="1"/>
    <col min="5" max="5" width="10.140625" style="1" bestFit="1" customWidth="1"/>
    <col min="6" max="6" width="4.85546875" style="1" customWidth="1"/>
    <col min="7" max="7" width="11.28515625" style="1" customWidth="1"/>
  </cols>
  <sheetData>
    <row r="1" spans="1:7" ht="19.5">
      <c r="A1" s="47" t="s">
        <v>363</v>
      </c>
      <c r="C1" s="48"/>
      <c r="D1" s="49"/>
      <c r="E1" s="48"/>
      <c r="F1" s="48"/>
      <c r="G1" s="114" t="s">
        <v>365</v>
      </c>
    </row>
    <row r="2" spans="1:7" ht="15.75" customHeight="1">
      <c r="A2" s="118" t="s">
        <v>366</v>
      </c>
      <c r="B2" s="118"/>
      <c r="C2" s="118"/>
      <c r="D2" s="118"/>
      <c r="E2" s="118"/>
      <c r="F2" s="118"/>
      <c r="G2" s="118"/>
    </row>
    <row r="3" spans="1:7" ht="18.75">
      <c r="A3" s="11"/>
      <c r="B3" s="12"/>
    </row>
    <row r="4" spans="1:7" ht="18.75">
      <c r="A4" s="5" t="s">
        <v>37</v>
      </c>
      <c r="B4" s="12"/>
    </row>
    <row r="5" spans="1:7" ht="18.75">
      <c r="A5" s="5"/>
      <c r="B5" s="12"/>
    </row>
    <row r="20" spans="1:1">
      <c r="A20" s="3" t="s">
        <v>193</v>
      </c>
    </row>
    <row r="37" spans="1:2">
      <c r="A37" s="5" t="s">
        <v>0</v>
      </c>
      <c r="B37" s="6"/>
    </row>
    <row r="39" spans="1:2" ht="75">
      <c r="A39" s="3" t="s">
        <v>1</v>
      </c>
      <c r="B39" s="2" t="s">
        <v>2</v>
      </c>
    </row>
    <row r="40" spans="1:2" ht="45">
      <c r="A40" s="4" t="s">
        <v>3</v>
      </c>
      <c r="B40" s="2" t="s">
        <v>226</v>
      </c>
    </row>
    <row r="41" spans="1:2" ht="60">
      <c r="A41" s="4" t="s">
        <v>1</v>
      </c>
      <c r="B41" s="2" t="s">
        <v>5</v>
      </c>
    </row>
    <row r="42" spans="1:2" ht="90">
      <c r="A42" s="4" t="s">
        <v>1</v>
      </c>
      <c r="B42" s="2" t="s">
        <v>6</v>
      </c>
    </row>
    <row r="43" spans="1:2" ht="90">
      <c r="A43" s="4" t="s">
        <v>1</v>
      </c>
      <c r="B43" s="2" t="s">
        <v>74</v>
      </c>
    </row>
    <row r="44" spans="1:2" ht="75">
      <c r="A44" s="4" t="s">
        <v>1</v>
      </c>
      <c r="B44" s="2" t="s">
        <v>7</v>
      </c>
    </row>
    <row r="45" spans="1:2" ht="105" customHeight="1">
      <c r="A45" s="4" t="s">
        <v>1</v>
      </c>
      <c r="B45" s="2" t="s">
        <v>8</v>
      </c>
    </row>
    <row r="46" spans="1:2" ht="75">
      <c r="A46" s="4" t="s">
        <v>1</v>
      </c>
      <c r="B46" s="2" t="s">
        <v>9</v>
      </c>
    </row>
    <row r="47" spans="1:2" ht="45">
      <c r="A47" s="4" t="s">
        <v>1</v>
      </c>
      <c r="B47" s="2" t="s">
        <v>10</v>
      </c>
    </row>
    <row r="48" spans="1:2" ht="75">
      <c r="A48" s="4" t="s">
        <v>1</v>
      </c>
      <c r="B48" s="2" t="s">
        <v>12</v>
      </c>
    </row>
    <row r="49" spans="1:2" ht="60">
      <c r="A49" s="4" t="s">
        <v>1</v>
      </c>
      <c r="B49" s="2" t="s">
        <v>171</v>
      </c>
    </row>
    <row r="50" spans="1:2" ht="90" customHeight="1">
      <c r="A50" s="4" t="s">
        <v>1</v>
      </c>
      <c r="B50" s="2" t="s">
        <v>16</v>
      </c>
    </row>
    <row r="52" spans="1:2">
      <c r="A52" s="5" t="s">
        <v>17</v>
      </c>
      <c r="B52" s="6" t="s">
        <v>18</v>
      </c>
    </row>
    <row r="54" spans="1:2">
      <c r="A54" s="3" t="s">
        <v>19</v>
      </c>
      <c r="B54" s="7" t="s">
        <v>205</v>
      </c>
    </row>
    <row r="55" spans="1:2" ht="105">
      <c r="B55" s="8" t="s">
        <v>22</v>
      </c>
    </row>
    <row r="56" spans="1:2">
      <c r="B56" s="9" t="s">
        <v>23</v>
      </c>
    </row>
    <row r="57" spans="1:2" ht="30">
      <c r="B57" s="9" t="s">
        <v>24</v>
      </c>
    </row>
    <row r="58" spans="1:2" ht="45">
      <c r="B58" s="9" t="s">
        <v>25</v>
      </c>
    </row>
    <row r="59" spans="1:2" ht="60">
      <c r="B59" s="9" t="s">
        <v>32</v>
      </c>
    </row>
    <row r="60" spans="1:2" ht="45">
      <c r="B60" s="9" t="s">
        <v>33</v>
      </c>
    </row>
    <row r="61" spans="1:2" ht="75">
      <c r="B61" s="9" t="s">
        <v>34</v>
      </c>
    </row>
    <row r="62" spans="1:2" ht="30">
      <c r="B62" s="9" t="s">
        <v>26</v>
      </c>
    </row>
    <row r="63" spans="1:2" ht="30">
      <c r="B63" s="9" t="s">
        <v>27</v>
      </c>
    </row>
    <row r="64" spans="1:2" ht="45">
      <c r="B64" s="9" t="s">
        <v>28</v>
      </c>
    </row>
    <row r="65" spans="1:7" ht="60">
      <c r="B65" s="9" t="s">
        <v>29</v>
      </c>
    </row>
    <row r="66" spans="1:7">
      <c r="B66" s="9" t="s">
        <v>30</v>
      </c>
    </row>
    <row r="67" spans="1:7">
      <c r="B67" s="9" t="s">
        <v>31</v>
      </c>
    </row>
    <row r="69" spans="1:7" ht="30">
      <c r="B69" s="10" t="s">
        <v>35</v>
      </c>
    </row>
    <row r="71" spans="1:7">
      <c r="B71" s="2" t="s">
        <v>36</v>
      </c>
      <c r="C71" s="1">
        <v>1</v>
      </c>
      <c r="E71" s="101">
        <v>0</v>
      </c>
      <c r="G71" s="69">
        <f>C71*E71</f>
        <v>0</v>
      </c>
    </row>
    <row r="72" spans="1:7">
      <c r="E72" s="104"/>
    </row>
    <row r="73" spans="1:7" ht="15.75" thickBot="1">
      <c r="A73" s="73"/>
      <c r="B73" s="74" t="s">
        <v>40</v>
      </c>
      <c r="C73" s="75"/>
      <c r="D73" s="76"/>
      <c r="E73" s="103"/>
      <c r="F73" s="75" t="s">
        <v>41</v>
      </c>
      <c r="G73" s="75">
        <f>SUM(G52:G72)</f>
        <v>0</v>
      </c>
    </row>
    <row r="74" spans="1:7" ht="15.75" thickTop="1">
      <c r="E74" s="104"/>
    </row>
    <row r="75" spans="1:7">
      <c r="A75" s="5" t="s">
        <v>42</v>
      </c>
      <c r="B75" s="6" t="s">
        <v>43</v>
      </c>
      <c r="E75" s="104"/>
    </row>
    <row r="76" spans="1:7">
      <c r="E76" s="104"/>
    </row>
    <row r="77" spans="1:7" ht="45">
      <c r="A77" s="3" t="s">
        <v>19</v>
      </c>
      <c r="B77" s="2" t="s">
        <v>48</v>
      </c>
      <c r="E77" s="104"/>
    </row>
    <row r="78" spans="1:7">
      <c r="E78" s="104"/>
    </row>
    <row r="79" spans="1:7">
      <c r="B79" s="2" t="s">
        <v>45</v>
      </c>
      <c r="C79" s="1">
        <f>(32*18.8+13.5*3.8+2*22.6)*1.05-0.01</f>
        <v>732.99500000000012</v>
      </c>
      <c r="E79" s="101">
        <v>0</v>
      </c>
      <c r="G79" s="69">
        <f>C79*E79</f>
        <v>0</v>
      </c>
    </row>
    <row r="80" spans="1:7">
      <c r="E80" s="104"/>
    </row>
    <row r="81" spans="1:7" ht="30">
      <c r="A81" s="3" t="s">
        <v>46</v>
      </c>
      <c r="B81" s="2" t="s">
        <v>49</v>
      </c>
      <c r="E81" s="104"/>
    </row>
    <row r="82" spans="1:7">
      <c r="E82" s="104"/>
    </row>
    <row r="83" spans="1:7">
      <c r="B83" s="2" t="s">
        <v>36</v>
      </c>
      <c r="C83" s="1">
        <v>2</v>
      </c>
      <c r="E83" s="101">
        <v>0</v>
      </c>
      <c r="G83" s="69">
        <f>C83*E83</f>
        <v>0</v>
      </c>
    </row>
    <row r="84" spans="1:7">
      <c r="E84" s="104"/>
    </row>
    <row r="85" spans="1:7" ht="30">
      <c r="A85" s="3" t="s">
        <v>50</v>
      </c>
      <c r="B85" s="2" t="s">
        <v>51</v>
      </c>
      <c r="E85" s="104"/>
    </row>
    <row r="86" spans="1:7">
      <c r="E86" s="104"/>
    </row>
    <row r="87" spans="1:7">
      <c r="B87" s="2" t="s">
        <v>36</v>
      </c>
      <c r="C87" s="1">
        <v>2</v>
      </c>
      <c r="E87" s="101">
        <v>0</v>
      </c>
      <c r="G87" s="69">
        <f>C87*E87</f>
        <v>0</v>
      </c>
    </row>
    <row r="88" spans="1:7">
      <c r="E88" s="104"/>
    </row>
    <row r="89" spans="1:7" ht="30">
      <c r="A89" s="3" t="s">
        <v>52</v>
      </c>
      <c r="B89" s="2" t="s">
        <v>53</v>
      </c>
      <c r="E89" s="104"/>
    </row>
    <row r="90" spans="1:7">
      <c r="E90" s="104"/>
    </row>
    <row r="91" spans="1:7">
      <c r="B91" s="2" t="s">
        <v>36</v>
      </c>
      <c r="C91" s="1">
        <v>2</v>
      </c>
      <c r="E91" s="101">
        <v>0</v>
      </c>
      <c r="G91" s="69">
        <f>C91*E91</f>
        <v>0</v>
      </c>
    </row>
    <row r="92" spans="1:7">
      <c r="E92" s="104"/>
    </row>
    <row r="93" spans="1:7" ht="30">
      <c r="A93" s="3" t="s">
        <v>54</v>
      </c>
      <c r="B93" s="2" t="s">
        <v>55</v>
      </c>
      <c r="E93" s="104"/>
    </row>
    <row r="94" spans="1:7">
      <c r="E94" s="104"/>
    </row>
    <row r="95" spans="1:7">
      <c r="B95" s="2" t="s">
        <v>56</v>
      </c>
      <c r="C95" s="1">
        <v>34</v>
      </c>
      <c r="E95" s="101">
        <v>0</v>
      </c>
      <c r="G95" s="69">
        <f>C95*E95</f>
        <v>0</v>
      </c>
    </row>
    <row r="96" spans="1:7">
      <c r="E96" s="104"/>
    </row>
    <row r="97" spans="1:7" ht="60">
      <c r="A97" s="3" t="s">
        <v>57</v>
      </c>
      <c r="B97" s="10" t="s">
        <v>44</v>
      </c>
      <c r="E97" s="104"/>
    </row>
    <row r="98" spans="1:7">
      <c r="E98" s="104"/>
    </row>
    <row r="99" spans="1:7">
      <c r="B99" s="2" t="s">
        <v>45</v>
      </c>
      <c r="C99" s="1">
        <f>(36*1.7*1.7+1.7*3+5*0.6*1.7)*1.05+0.05</f>
        <v>120.00199999999998</v>
      </c>
      <c r="E99" s="101">
        <v>0</v>
      </c>
      <c r="G99" s="69">
        <f>C99*E99</f>
        <v>0</v>
      </c>
    </row>
    <row r="100" spans="1:7">
      <c r="E100" s="104"/>
    </row>
    <row r="101" spans="1:7" ht="45">
      <c r="A101" s="3" t="s">
        <v>58</v>
      </c>
      <c r="B101" s="2" t="s">
        <v>60</v>
      </c>
      <c r="E101" s="104"/>
    </row>
    <row r="102" spans="1:7">
      <c r="E102" s="104"/>
    </row>
    <row r="103" spans="1:7">
      <c r="B103" s="2" t="s">
        <v>59</v>
      </c>
      <c r="C103" s="1">
        <v>2</v>
      </c>
      <c r="E103" s="101">
        <v>0</v>
      </c>
      <c r="G103" s="69">
        <f>C103*E103</f>
        <v>0</v>
      </c>
    </row>
    <row r="104" spans="1:7">
      <c r="E104" s="104"/>
    </row>
    <row r="105" spans="1:7" ht="30">
      <c r="A105" s="3" t="s">
        <v>61</v>
      </c>
      <c r="B105" s="2" t="s">
        <v>62</v>
      </c>
      <c r="E105" s="104"/>
    </row>
    <row r="106" spans="1:7">
      <c r="E106" s="104"/>
    </row>
    <row r="107" spans="1:7">
      <c r="B107" s="2" t="s">
        <v>63</v>
      </c>
      <c r="C107" s="1">
        <v>1</v>
      </c>
      <c r="E107" s="101">
        <v>0</v>
      </c>
      <c r="G107" s="69">
        <f>C107*E107</f>
        <v>0</v>
      </c>
    </row>
    <row r="108" spans="1:7">
      <c r="E108" s="104"/>
    </row>
    <row r="109" spans="1:7" ht="90" customHeight="1">
      <c r="A109" s="3" t="s">
        <v>64</v>
      </c>
      <c r="B109" s="17" t="s">
        <v>65</v>
      </c>
      <c r="E109" s="104"/>
    </row>
    <row r="110" spans="1:7">
      <c r="E110" s="104"/>
    </row>
    <row r="111" spans="1:7">
      <c r="B111" s="2" t="s">
        <v>56</v>
      </c>
      <c r="C111" s="1">
        <f>C95</f>
        <v>34</v>
      </c>
      <c r="E111" s="101">
        <v>0</v>
      </c>
      <c r="G111" s="69">
        <f>C111*E111</f>
        <v>0</v>
      </c>
    </row>
    <row r="112" spans="1:7">
      <c r="E112" s="104"/>
    </row>
    <row r="113" spans="1:7" ht="75">
      <c r="A113" s="3" t="s">
        <v>66</v>
      </c>
      <c r="B113" s="2" t="s">
        <v>67</v>
      </c>
      <c r="E113" s="104"/>
    </row>
    <row r="114" spans="1:7">
      <c r="E114" s="104"/>
    </row>
    <row r="115" spans="1:7">
      <c r="B115" s="2" t="s">
        <v>59</v>
      </c>
      <c r="C115" s="1">
        <f>(4*32+13.5)/0.8*1.05-0.72</f>
        <v>184.99875</v>
      </c>
      <c r="E115" s="101">
        <v>0</v>
      </c>
      <c r="G115" s="69">
        <f>C115*E115</f>
        <v>0</v>
      </c>
    </row>
    <row r="116" spans="1:7">
      <c r="E116" s="104"/>
    </row>
    <row r="117" spans="1:7" ht="30" customHeight="1">
      <c r="A117" s="3" t="s">
        <v>68</v>
      </c>
      <c r="B117" s="2" t="s">
        <v>47</v>
      </c>
      <c r="E117" s="104"/>
    </row>
    <row r="118" spans="1:7">
      <c r="E118" s="104"/>
    </row>
    <row r="119" spans="1:7">
      <c r="B119" s="2" t="s">
        <v>45</v>
      </c>
      <c r="C119" s="1">
        <f>(34*18.8+13.5*3.8)*1.05-0.03</f>
        <v>724.995</v>
      </c>
      <c r="E119" s="101">
        <v>0</v>
      </c>
      <c r="G119" s="69">
        <f>C119*E119</f>
        <v>0</v>
      </c>
    </row>
    <row r="120" spans="1:7">
      <c r="E120" s="104"/>
    </row>
    <row r="121" spans="1:7" ht="105">
      <c r="A121" s="3" t="s">
        <v>69</v>
      </c>
      <c r="B121" s="2" t="s">
        <v>72</v>
      </c>
      <c r="E121" s="104"/>
    </row>
    <row r="122" spans="1:7">
      <c r="E122" s="104"/>
    </row>
    <row r="123" spans="1:7">
      <c r="B123" s="2" t="s">
        <v>45</v>
      </c>
      <c r="C123" s="1">
        <f>C119*0.6</f>
        <v>434.99700000000001</v>
      </c>
      <c r="E123" s="101">
        <v>0</v>
      </c>
      <c r="G123" s="69">
        <f>C123*E123</f>
        <v>0</v>
      </c>
    </row>
    <row r="124" spans="1:7">
      <c r="E124" s="104"/>
    </row>
    <row r="125" spans="1:7" ht="105" customHeight="1">
      <c r="A125" s="3" t="s">
        <v>70</v>
      </c>
      <c r="B125" s="2" t="s">
        <v>71</v>
      </c>
      <c r="E125" s="104"/>
    </row>
    <row r="126" spans="1:7">
      <c r="E126" s="104"/>
    </row>
    <row r="127" spans="1:7">
      <c r="B127" s="2" t="s">
        <v>45</v>
      </c>
      <c r="C127" s="1">
        <f>C119</f>
        <v>724.995</v>
      </c>
      <c r="E127" s="101">
        <v>0</v>
      </c>
      <c r="G127" s="69">
        <f>C127*E127</f>
        <v>0</v>
      </c>
    </row>
    <row r="128" spans="1:7">
      <c r="E128" s="104"/>
    </row>
    <row r="129" spans="1:7" ht="75">
      <c r="A129" s="3" t="s">
        <v>73</v>
      </c>
      <c r="B129" s="2" t="s">
        <v>75</v>
      </c>
      <c r="E129" s="104"/>
    </row>
    <row r="130" spans="1:7">
      <c r="E130" s="104"/>
    </row>
    <row r="131" spans="1:7">
      <c r="A131" s="3" t="s">
        <v>114</v>
      </c>
      <c r="B131" s="2" t="s">
        <v>227</v>
      </c>
      <c r="C131" s="1">
        <f>C123-C133</f>
        <v>356.99940000000004</v>
      </c>
      <c r="E131" s="101">
        <v>0</v>
      </c>
      <c r="G131" s="69">
        <f>C131*E131</f>
        <v>0</v>
      </c>
    </row>
    <row r="132" spans="1:7">
      <c r="E132" s="104"/>
    </row>
    <row r="133" spans="1:7">
      <c r="A133" s="3" t="s">
        <v>115</v>
      </c>
      <c r="B133" s="2" t="s">
        <v>228</v>
      </c>
      <c r="C133" s="1">
        <f>2*3.14*1.8*23*0.5*0.6</f>
        <v>77.997600000000006</v>
      </c>
      <c r="E133" s="101">
        <v>0</v>
      </c>
      <c r="G133" s="69">
        <f>C133*E133</f>
        <v>0</v>
      </c>
    </row>
    <row r="134" spans="1:7">
      <c r="E134" s="104"/>
    </row>
    <row r="135" spans="1:7" ht="60">
      <c r="A135" s="3" t="s">
        <v>76</v>
      </c>
      <c r="B135" s="2" t="s">
        <v>83</v>
      </c>
      <c r="E135" s="104"/>
    </row>
    <row r="136" spans="1:7">
      <c r="E136" s="104"/>
    </row>
    <row r="137" spans="1:7">
      <c r="A137" s="3" t="s">
        <v>114</v>
      </c>
      <c r="B137" s="2" t="s">
        <v>227</v>
      </c>
      <c r="C137" s="1">
        <f>C127-C139+0.01-0.01</f>
        <v>596.99980000000005</v>
      </c>
      <c r="E137" s="101">
        <v>0</v>
      </c>
      <c r="G137" s="69">
        <f>C137*E137</f>
        <v>0</v>
      </c>
    </row>
    <row r="138" spans="1:7">
      <c r="E138" s="104"/>
    </row>
    <row r="139" spans="1:7">
      <c r="A139" s="3" t="s">
        <v>115</v>
      </c>
      <c r="B139" s="2" t="s">
        <v>228</v>
      </c>
      <c r="C139" s="1">
        <f>3.14*1.8*22.6+0.26</f>
        <v>127.99520000000001</v>
      </c>
      <c r="E139" s="101">
        <v>0</v>
      </c>
      <c r="G139" s="69">
        <f>C139*E139</f>
        <v>0</v>
      </c>
    </row>
    <row r="140" spans="1:7">
      <c r="E140" s="104"/>
    </row>
    <row r="141" spans="1:7" ht="45">
      <c r="A141" s="3" t="s">
        <v>77</v>
      </c>
      <c r="B141" s="2" t="s">
        <v>90</v>
      </c>
      <c r="E141" s="104"/>
    </row>
    <row r="142" spans="1:7">
      <c r="E142" s="104"/>
    </row>
    <row r="143" spans="1:7">
      <c r="A143" s="3" t="s">
        <v>114</v>
      </c>
      <c r="B143" s="2" t="s">
        <v>227</v>
      </c>
      <c r="C143" s="1">
        <f>C137</f>
        <v>596.99980000000005</v>
      </c>
      <c r="E143" s="101">
        <v>0</v>
      </c>
      <c r="G143" s="69">
        <f>C143*E143</f>
        <v>0</v>
      </c>
    </row>
    <row r="144" spans="1:7">
      <c r="E144" s="104"/>
    </row>
    <row r="145" spans="1:7">
      <c r="A145" s="3" t="s">
        <v>115</v>
      </c>
      <c r="B145" s="2" t="s">
        <v>228</v>
      </c>
      <c r="C145" s="1">
        <f>C139</f>
        <v>127.99520000000001</v>
      </c>
      <c r="E145" s="101">
        <v>0</v>
      </c>
      <c r="G145" s="69">
        <f>C145*E145</f>
        <v>0</v>
      </c>
    </row>
    <row r="146" spans="1:7">
      <c r="E146" s="104"/>
    </row>
    <row r="147" spans="1:7" ht="45">
      <c r="A147" s="3" t="s">
        <v>78</v>
      </c>
      <c r="B147" s="2" t="s">
        <v>89</v>
      </c>
      <c r="E147" s="104"/>
    </row>
    <row r="148" spans="1:7">
      <c r="E148" s="104"/>
    </row>
    <row r="149" spans="1:7">
      <c r="B149" s="2" t="s">
        <v>45</v>
      </c>
      <c r="C149" s="1">
        <v>34</v>
      </c>
      <c r="E149" s="101">
        <v>0</v>
      </c>
      <c r="G149" s="69">
        <f>C149*E149</f>
        <v>0</v>
      </c>
    </row>
    <row r="150" spans="1:7">
      <c r="E150" s="104"/>
    </row>
    <row r="151" spans="1:7" ht="60">
      <c r="A151" s="3" t="s">
        <v>80</v>
      </c>
      <c r="B151" s="2" t="s">
        <v>197</v>
      </c>
      <c r="E151" s="104"/>
    </row>
    <row r="152" spans="1:7">
      <c r="E152" s="104"/>
    </row>
    <row r="153" spans="1:7">
      <c r="A153" s="3" t="s">
        <v>114</v>
      </c>
      <c r="B153" s="2" t="s">
        <v>230</v>
      </c>
      <c r="C153" s="1">
        <f>5*(32-3.6) *1.05-0.1</f>
        <v>149</v>
      </c>
      <c r="E153" s="101">
        <v>0</v>
      </c>
      <c r="G153" s="69">
        <f>C153*E153</f>
        <v>0</v>
      </c>
    </row>
    <row r="154" spans="1:7">
      <c r="E154" s="104"/>
    </row>
    <row r="155" spans="1:7">
      <c r="A155" s="3" t="s">
        <v>115</v>
      </c>
      <c r="B155" s="2" t="s">
        <v>232</v>
      </c>
      <c r="C155" s="1">
        <f>5*3.14*1.8*1.05+0.33</f>
        <v>30.003</v>
      </c>
      <c r="E155" s="101">
        <v>0</v>
      </c>
      <c r="G155" s="69">
        <f>C155*E155</f>
        <v>0</v>
      </c>
    </row>
    <row r="156" spans="1:7">
      <c r="E156" s="104"/>
    </row>
    <row r="157" spans="1:7" ht="45" customHeight="1">
      <c r="A157" s="3" t="s">
        <v>82</v>
      </c>
      <c r="B157" s="2" t="s">
        <v>256</v>
      </c>
      <c r="E157" s="104"/>
    </row>
    <row r="158" spans="1:7">
      <c r="E158" s="104"/>
    </row>
    <row r="159" spans="1:7">
      <c r="A159" s="3" t="s">
        <v>114</v>
      </c>
      <c r="B159" s="2" t="s">
        <v>231</v>
      </c>
      <c r="C159" s="1">
        <f>32+13.5-3.6-3.6</f>
        <v>38.299999999999997</v>
      </c>
      <c r="E159" s="101">
        <v>0</v>
      </c>
      <c r="G159" s="69">
        <f>C159*E159</f>
        <v>0</v>
      </c>
    </row>
    <row r="160" spans="1:7">
      <c r="E160" s="104"/>
    </row>
    <row r="161" spans="1:7">
      <c r="A161" s="3" t="s">
        <v>115</v>
      </c>
      <c r="B161" s="2" t="s">
        <v>233</v>
      </c>
      <c r="C161" s="1">
        <f>3.14*1.8*2*1.05+0.13</f>
        <v>11.999200000000002</v>
      </c>
      <c r="E161" s="101">
        <v>0</v>
      </c>
      <c r="G161" s="69">
        <f>C161*E161</f>
        <v>0</v>
      </c>
    </row>
    <row r="162" spans="1:7">
      <c r="E162" s="104"/>
    </row>
    <row r="163" spans="1:7" ht="60">
      <c r="A163" s="3" t="s">
        <v>84</v>
      </c>
      <c r="B163" s="2" t="s">
        <v>257</v>
      </c>
      <c r="E163" s="104"/>
    </row>
    <row r="164" spans="1:7">
      <c r="E164" s="104"/>
    </row>
    <row r="165" spans="1:7">
      <c r="A165" s="3" t="s">
        <v>114</v>
      </c>
      <c r="B165" s="2" t="s">
        <v>235</v>
      </c>
      <c r="C165" s="1">
        <f>34-3.6+0.6</f>
        <v>31</v>
      </c>
      <c r="E165" s="101">
        <v>0</v>
      </c>
      <c r="G165" s="69">
        <f>C165*E165</f>
        <v>0</v>
      </c>
    </row>
    <row r="166" spans="1:7">
      <c r="E166" s="104"/>
    </row>
    <row r="167" spans="1:7">
      <c r="A167" s="3" t="s">
        <v>115</v>
      </c>
      <c r="B167" s="2" t="s">
        <v>233</v>
      </c>
      <c r="C167" s="1">
        <f>3.14*1.8+0.35</f>
        <v>6.0019999999999998</v>
      </c>
      <c r="E167" s="101">
        <v>0</v>
      </c>
      <c r="G167" s="69">
        <f>C167*E167</f>
        <v>0</v>
      </c>
    </row>
    <row r="168" spans="1:7">
      <c r="E168" s="104"/>
    </row>
    <row r="169" spans="1:7" ht="60">
      <c r="A169" s="3" t="s">
        <v>85</v>
      </c>
      <c r="B169" s="2" t="s">
        <v>236</v>
      </c>
      <c r="E169" s="104"/>
    </row>
    <row r="170" spans="1:7">
      <c r="E170" s="104"/>
    </row>
    <row r="171" spans="1:7">
      <c r="B171" s="2" t="s">
        <v>56</v>
      </c>
      <c r="C171" s="1">
        <f>(26*1.9+4*0.8)*1.05-0.23</f>
        <v>55.000000000000007</v>
      </c>
      <c r="E171" s="101">
        <v>0</v>
      </c>
      <c r="G171" s="69">
        <f>C171*E171</f>
        <v>0</v>
      </c>
    </row>
    <row r="172" spans="1:7">
      <c r="E172" s="104"/>
    </row>
    <row r="173" spans="1:7" ht="45">
      <c r="A173" s="3" t="s">
        <v>86</v>
      </c>
      <c r="B173" s="2" t="s">
        <v>88</v>
      </c>
      <c r="E173" s="104"/>
    </row>
    <row r="174" spans="1:7">
      <c r="E174" s="104"/>
    </row>
    <row r="175" spans="1:7">
      <c r="B175" s="2" t="s">
        <v>56</v>
      </c>
      <c r="C175" s="1">
        <f>C153+C155+C159+C161</f>
        <v>229.3022</v>
      </c>
      <c r="E175" s="101">
        <v>0</v>
      </c>
      <c r="G175" s="69">
        <f>C175*E175</f>
        <v>0</v>
      </c>
    </row>
    <row r="176" spans="1:7">
      <c r="E176" s="104"/>
    </row>
    <row r="177" spans="1:7">
      <c r="A177" s="3" t="s">
        <v>91</v>
      </c>
      <c r="B177" s="2" t="s">
        <v>237</v>
      </c>
      <c r="E177" s="104"/>
    </row>
    <row r="178" spans="1:7">
      <c r="E178" s="104"/>
    </row>
    <row r="179" spans="1:7">
      <c r="B179" s="2" t="s">
        <v>56</v>
      </c>
      <c r="C179" s="1">
        <f>C171</f>
        <v>55.000000000000007</v>
      </c>
      <c r="E179" s="101">
        <v>0</v>
      </c>
      <c r="G179" s="69">
        <f>C179*E179</f>
        <v>0</v>
      </c>
    </row>
    <row r="180" spans="1:7">
      <c r="E180" s="104"/>
    </row>
    <row r="181" spans="1:7" ht="135">
      <c r="A181" s="3" t="s">
        <v>92</v>
      </c>
      <c r="B181" s="2" t="s">
        <v>223</v>
      </c>
      <c r="E181" s="104"/>
    </row>
    <row r="182" spans="1:7">
      <c r="E182" s="104"/>
    </row>
    <row r="183" spans="1:7">
      <c r="B183" s="2" t="s">
        <v>56</v>
      </c>
      <c r="C183" s="1">
        <v>0</v>
      </c>
      <c r="E183" s="101">
        <v>0</v>
      </c>
      <c r="G183" s="69">
        <f>C183*E183</f>
        <v>0</v>
      </c>
    </row>
    <row r="184" spans="1:7">
      <c r="E184" s="104"/>
    </row>
    <row r="185" spans="1:7" ht="60" customHeight="1">
      <c r="A185" s="3" t="s">
        <v>93</v>
      </c>
      <c r="B185" s="2" t="s">
        <v>94</v>
      </c>
      <c r="E185" s="104"/>
    </row>
    <row r="186" spans="1:7">
      <c r="E186" s="104"/>
    </row>
    <row r="187" spans="1:7">
      <c r="B187" s="2" t="s">
        <v>63</v>
      </c>
      <c r="C187" s="1">
        <v>1</v>
      </c>
      <c r="E187" s="101">
        <v>0</v>
      </c>
      <c r="G187" s="69">
        <f>C187*E187</f>
        <v>0</v>
      </c>
    </row>
    <row r="188" spans="1:7">
      <c r="E188" s="104"/>
    </row>
    <row r="189" spans="1:7" ht="45">
      <c r="A189" s="3" t="s">
        <v>95</v>
      </c>
      <c r="B189" s="2" t="s">
        <v>96</v>
      </c>
      <c r="E189" s="104"/>
    </row>
    <row r="190" spans="1:7">
      <c r="E190" s="104"/>
    </row>
    <row r="191" spans="1:7">
      <c r="B191" s="2" t="s">
        <v>97</v>
      </c>
      <c r="C191" s="1">
        <f>C119*0.01*1.25+C131*0.03*1.25</f>
        <v>22.449914999999997</v>
      </c>
      <c r="E191" s="101">
        <v>0</v>
      </c>
      <c r="G191" s="69">
        <f>C191*E191</f>
        <v>0</v>
      </c>
    </row>
    <row r="192" spans="1:7">
      <c r="E192" s="104"/>
    </row>
    <row r="193" spans="1:7" ht="45">
      <c r="A193" s="3" t="s">
        <v>98</v>
      </c>
      <c r="B193" s="2" t="s">
        <v>99</v>
      </c>
      <c r="E193" s="104"/>
    </row>
    <row r="194" spans="1:7">
      <c r="E194" s="104"/>
    </row>
    <row r="195" spans="1:7">
      <c r="B195" s="2" t="s">
        <v>63</v>
      </c>
      <c r="C195" s="1">
        <v>1</v>
      </c>
      <c r="E195" s="101">
        <v>0</v>
      </c>
      <c r="G195" s="69">
        <f>C195*E195</f>
        <v>0</v>
      </c>
    </row>
    <row r="196" spans="1:7">
      <c r="E196" s="102"/>
      <c r="G196" s="72"/>
    </row>
    <row r="197" spans="1:7" ht="15.75" thickBot="1">
      <c r="A197" s="79"/>
      <c r="B197" s="74" t="s">
        <v>100</v>
      </c>
      <c r="C197" s="75"/>
      <c r="D197" s="76"/>
      <c r="E197" s="103"/>
      <c r="F197" s="75" t="s">
        <v>41</v>
      </c>
      <c r="G197" s="75">
        <f>SUM(G75:G196)</f>
        <v>0</v>
      </c>
    </row>
    <row r="198" spans="1:7" ht="15.75" thickTop="1">
      <c r="E198" s="104"/>
    </row>
    <row r="199" spans="1:7">
      <c r="A199" s="5" t="s">
        <v>105</v>
      </c>
      <c r="B199" s="6" t="s">
        <v>106</v>
      </c>
      <c r="E199" s="104"/>
    </row>
    <row r="200" spans="1:7">
      <c r="E200" s="104"/>
    </row>
    <row r="201" spans="1:7" ht="105">
      <c r="A201" s="3" t="s">
        <v>19</v>
      </c>
      <c r="B201" s="22" t="s">
        <v>107</v>
      </c>
      <c r="E201" s="104"/>
    </row>
    <row r="202" spans="1:7">
      <c r="E202" s="104"/>
    </row>
    <row r="203" spans="1:7">
      <c r="B203" s="2" t="s">
        <v>63</v>
      </c>
      <c r="C203" s="1">
        <v>1</v>
      </c>
      <c r="E203" s="101">
        <v>0</v>
      </c>
      <c r="G203" s="69">
        <f>C203*E203</f>
        <v>0</v>
      </c>
    </row>
    <row r="204" spans="1:7">
      <c r="E204" s="104"/>
    </row>
    <row r="205" spans="1:7" ht="210">
      <c r="A205" s="3" t="s">
        <v>46</v>
      </c>
      <c r="B205" s="17" t="s">
        <v>249</v>
      </c>
      <c r="C205" s="31"/>
      <c r="D205" s="26"/>
      <c r="E205" s="106"/>
      <c r="F205" s="33"/>
      <c r="G205" s="32"/>
    </row>
    <row r="206" spans="1:7">
      <c r="B206" s="17"/>
      <c r="C206" s="31"/>
      <c r="D206" s="26"/>
      <c r="E206" s="106"/>
      <c r="F206" s="33"/>
      <c r="G206" s="32"/>
    </row>
    <row r="207" spans="1:7">
      <c r="B207" s="17"/>
      <c r="C207" s="31"/>
      <c r="D207" s="26"/>
      <c r="E207" s="106"/>
      <c r="F207" s="33"/>
      <c r="G207" s="32"/>
    </row>
    <row r="208" spans="1:7">
      <c r="B208" s="17"/>
      <c r="C208" s="31"/>
      <c r="D208" s="26"/>
      <c r="E208" s="106"/>
      <c r="F208" s="33"/>
      <c r="G208" s="32"/>
    </row>
    <row r="209" spans="1:7">
      <c r="B209" s="17"/>
      <c r="C209" s="31"/>
      <c r="D209" s="26"/>
      <c r="E209" s="106"/>
      <c r="F209" s="33"/>
      <c r="G209" s="32"/>
    </row>
    <row r="210" spans="1:7">
      <c r="B210" s="17"/>
      <c r="C210" s="31"/>
      <c r="D210" s="26"/>
      <c r="E210" s="106"/>
      <c r="F210" s="33"/>
      <c r="G210" s="32"/>
    </row>
    <row r="211" spans="1:7">
      <c r="B211" s="17"/>
      <c r="C211" s="31"/>
      <c r="D211" s="26"/>
      <c r="E211" s="106"/>
      <c r="F211" s="33"/>
      <c r="G211" s="32"/>
    </row>
    <row r="212" spans="1:7">
      <c r="B212" s="17"/>
      <c r="C212" s="31"/>
      <c r="D212" s="26"/>
      <c r="E212" s="106"/>
      <c r="F212" s="33"/>
      <c r="G212" s="32"/>
    </row>
    <row r="213" spans="1:7" ht="30">
      <c r="A213" s="3" t="s">
        <v>114</v>
      </c>
      <c r="B213" s="17" t="s">
        <v>250</v>
      </c>
      <c r="C213" s="36"/>
      <c r="D213" s="37"/>
      <c r="E213" s="107"/>
      <c r="F213" s="38"/>
      <c r="G213" s="39"/>
    </row>
    <row r="214" spans="1:7">
      <c r="B214" s="17"/>
      <c r="C214" s="36"/>
      <c r="D214" s="37"/>
      <c r="E214" s="107"/>
      <c r="F214" s="38"/>
      <c r="G214" s="39"/>
    </row>
    <row r="215" spans="1:7">
      <c r="B215" s="17" t="s">
        <v>59</v>
      </c>
      <c r="C215" s="36">
        <v>1</v>
      </c>
      <c r="D215" s="37"/>
      <c r="E215" s="101">
        <v>0</v>
      </c>
      <c r="G215" s="69">
        <f>C215*E215</f>
        <v>0</v>
      </c>
    </row>
    <row r="216" spans="1:7">
      <c r="B216" s="17"/>
      <c r="C216" s="31"/>
      <c r="D216" s="26"/>
      <c r="E216" s="106"/>
      <c r="F216" s="33"/>
      <c r="G216" s="32"/>
    </row>
    <row r="217" spans="1:7" ht="15.75" thickBot="1">
      <c r="A217" s="79"/>
      <c r="B217" s="74" t="s">
        <v>108</v>
      </c>
      <c r="C217" s="75"/>
      <c r="D217" s="76"/>
      <c r="E217" s="103"/>
      <c r="F217" s="75" t="s">
        <v>41</v>
      </c>
      <c r="G217" s="75">
        <f>SUM(G199:G216)</f>
        <v>0</v>
      </c>
    </row>
    <row r="218" spans="1:7" ht="15.75" thickTop="1">
      <c r="E218" s="104"/>
    </row>
    <row r="219" spans="1:7">
      <c r="A219" s="5" t="s">
        <v>109</v>
      </c>
      <c r="B219" s="6" t="s">
        <v>110</v>
      </c>
      <c r="E219" s="104"/>
    </row>
    <row r="220" spans="1:7">
      <c r="A220" s="5"/>
      <c r="B220" s="6"/>
      <c r="E220" s="104"/>
    </row>
    <row r="221" spans="1:7" ht="105">
      <c r="A221" s="23" t="s">
        <v>111</v>
      </c>
      <c r="B221" s="24" t="s">
        <v>112</v>
      </c>
      <c r="E221" s="104"/>
    </row>
    <row r="222" spans="1:7">
      <c r="A222" s="5"/>
      <c r="B222" s="6"/>
      <c r="E222" s="104"/>
    </row>
    <row r="223" spans="1:7" ht="60">
      <c r="A223" s="3" t="s">
        <v>19</v>
      </c>
      <c r="B223" s="2" t="s">
        <v>113</v>
      </c>
      <c r="E223" s="104"/>
    </row>
    <row r="224" spans="1:7">
      <c r="E224" s="104"/>
    </row>
    <row r="225" spans="1:7" ht="30">
      <c r="A225" s="3" t="s">
        <v>114</v>
      </c>
      <c r="B225" s="2" t="s">
        <v>238</v>
      </c>
      <c r="C225" s="1">
        <f>C153+C159+C171</f>
        <v>242.3</v>
      </c>
      <c r="E225" s="101">
        <v>0</v>
      </c>
      <c r="G225" s="69">
        <f>C225*E225</f>
        <v>0</v>
      </c>
    </row>
    <row r="226" spans="1:7">
      <c r="E226" s="104"/>
    </row>
    <row r="227" spans="1:7">
      <c r="A227" s="3" t="s">
        <v>115</v>
      </c>
      <c r="B227" s="2" t="s">
        <v>239</v>
      </c>
      <c r="C227" s="1">
        <f>C155+C161</f>
        <v>42.002200000000002</v>
      </c>
      <c r="E227" s="104"/>
    </row>
    <row r="228" spans="1:7">
      <c r="E228" s="104"/>
    </row>
    <row r="229" spans="1:7">
      <c r="A229" s="3" t="s">
        <v>116</v>
      </c>
      <c r="B229" s="2" t="s">
        <v>240</v>
      </c>
      <c r="C229" s="1">
        <f>C165</f>
        <v>31</v>
      </c>
      <c r="E229" s="101">
        <v>0</v>
      </c>
      <c r="G229" s="69">
        <f>C229*E229</f>
        <v>0</v>
      </c>
    </row>
    <row r="230" spans="1:7">
      <c r="E230" s="104"/>
    </row>
    <row r="231" spans="1:7">
      <c r="A231" s="3" t="s">
        <v>218</v>
      </c>
      <c r="B231" s="2" t="s">
        <v>241</v>
      </c>
      <c r="C231" s="1">
        <f>C167</f>
        <v>6.0019999999999998</v>
      </c>
      <c r="E231" s="101">
        <v>0</v>
      </c>
      <c r="G231" s="69">
        <f>C231*E231</f>
        <v>0</v>
      </c>
    </row>
    <row r="232" spans="1:7">
      <c r="E232" s="104"/>
    </row>
    <row r="233" spans="1:7" ht="60">
      <c r="A233" s="3" t="s">
        <v>46</v>
      </c>
      <c r="B233" s="2" t="s">
        <v>132</v>
      </c>
      <c r="E233" s="104"/>
    </row>
    <row r="234" spans="1:7">
      <c r="E234" s="104"/>
    </row>
    <row r="235" spans="1:7">
      <c r="B235" s="2" t="s">
        <v>56</v>
      </c>
      <c r="C235" s="1">
        <f>2*24</f>
        <v>48</v>
      </c>
      <c r="E235" s="101">
        <v>0</v>
      </c>
      <c r="G235" s="69">
        <f>C235*E235</f>
        <v>0</v>
      </c>
    </row>
    <row r="236" spans="1:7">
      <c r="E236" s="104"/>
    </row>
    <row r="237" spans="1:7">
      <c r="A237" s="3" t="s">
        <v>50</v>
      </c>
      <c r="B237" s="2" t="s">
        <v>117</v>
      </c>
      <c r="E237" s="104"/>
    </row>
    <row r="238" spans="1:7">
      <c r="E238" s="104"/>
    </row>
    <row r="239" spans="1:7" ht="19.5" customHeight="1">
      <c r="A239" s="3" t="s">
        <v>114</v>
      </c>
      <c r="B239" s="2" t="s">
        <v>242</v>
      </c>
      <c r="C239" s="1">
        <f>C225</f>
        <v>242.3</v>
      </c>
      <c r="E239" s="101">
        <v>0</v>
      </c>
      <c r="G239" s="69">
        <f>C239*E239</f>
        <v>0</v>
      </c>
    </row>
    <row r="240" spans="1:7">
      <c r="E240" s="104"/>
    </row>
    <row r="241" spans="1:7">
      <c r="A241" s="3" t="s">
        <v>115</v>
      </c>
      <c r="B241" s="2" t="s">
        <v>239</v>
      </c>
      <c r="C241" s="1">
        <f>C227</f>
        <v>42.002200000000002</v>
      </c>
      <c r="E241" s="101">
        <v>0</v>
      </c>
      <c r="G241" s="69">
        <f>C241*E241</f>
        <v>0</v>
      </c>
    </row>
    <row r="242" spans="1:7">
      <c r="E242" s="104"/>
    </row>
    <row r="243" spans="1:7">
      <c r="A243" s="3" t="s">
        <v>116</v>
      </c>
      <c r="B243" s="2" t="s">
        <v>243</v>
      </c>
      <c r="C243" s="1">
        <f>C229</f>
        <v>31</v>
      </c>
      <c r="E243" s="101">
        <v>0</v>
      </c>
      <c r="G243" s="69">
        <f>C243*E243</f>
        <v>0</v>
      </c>
    </row>
    <row r="244" spans="1:7">
      <c r="E244" s="104"/>
    </row>
    <row r="245" spans="1:7">
      <c r="A245" s="3" t="s">
        <v>218</v>
      </c>
      <c r="B245" s="2" t="s">
        <v>241</v>
      </c>
      <c r="C245" s="1">
        <f>C231</f>
        <v>6.0019999999999998</v>
      </c>
      <c r="E245" s="101">
        <v>0</v>
      </c>
      <c r="G245" s="69">
        <f>C245*E245</f>
        <v>0</v>
      </c>
    </row>
    <row r="246" spans="1:7">
      <c r="E246" s="104"/>
    </row>
    <row r="247" spans="1:7">
      <c r="E247" s="104"/>
    </row>
    <row r="248" spans="1:7">
      <c r="E248" s="104"/>
    </row>
    <row r="249" spans="1:7" ht="45">
      <c r="A249" s="3" t="s">
        <v>54</v>
      </c>
      <c r="B249" s="2" t="s">
        <v>200</v>
      </c>
      <c r="E249" s="104"/>
    </row>
    <row r="250" spans="1:7">
      <c r="E250" s="104"/>
    </row>
    <row r="251" spans="1:7">
      <c r="B251" s="2" t="s">
        <v>56</v>
      </c>
      <c r="C251" s="1">
        <v>34</v>
      </c>
      <c r="E251" s="101">
        <v>0</v>
      </c>
      <c r="G251" s="69">
        <f>C251*E251</f>
        <v>0</v>
      </c>
    </row>
    <row r="252" spans="1:7">
      <c r="E252" s="104"/>
    </row>
    <row r="253" spans="1:7">
      <c r="A253" s="3" t="s">
        <v>57</v>
      </c>
      <c r="B253" s="2" t="s">
        <v>183</v>
      </c>
      <c r="E253" s="104"/>
    </row>
    <row r="254" spans="1:7">
      <c r="E254" s="104"/>
    </row>
    <row r="255" spans="1:7">
      <c r="B255" s="2" t="s">
        <v>59</v>
      </c>
      <c r="C255" s="1">
        <v>2</v>
      </c>
      <c r="E255" s="101">
        <v>0</v>
      </c>
      <c r="G255" s="69">
        <f>C255*E255</f>
        <v>0</v>
      </c>
    </row>
    <row r="256" spans="1:7">
      <c r="E256" s="104"/>
    </row>
    <row r="257" spans="1:7" ht="60">
      <c r="A257" s="3" t="s">
        <v>58</v>
      </c>
      <c r="B257" s="2" t="s">
        <v>123</v>
      </c>
      <c r="E257" s="104"/>
    </row>
    <row r="258" spans="1:7">
      <c r="E258" s="104"/>
    </row>
    <row r="259" spans="1:7">
      <c r="B259" s="2" t="s">
        <v>56</v>
      </c>
      <c r="C259" s="1">
        <f>C175+C243</f>
        <v>260.30219999999997</v>
      </c>
      <c r="E259" s="101">
        <v>0</v>
      </c>
      <c r="G259" s="69">
        <f>C259*E259</f>
        <v>0</v>
      </c>
    </row>
    <row r="260" spans="1:7">
      <c r="E260" s="102"/>
      <c r="G260" s="72"/>
    </row>
    <row r="261" spans="1:7" ht="15.75" thickBot="1">
      <c r="A261" s="79"/>
      <c r="B261" s="74" t="s">
        <v>124</v>
      </c>
      <c r="C261" s="75"/>
      <c r="D261" s="76"/>
      <c r="E261" s="103"/>
      <c r="F261" s="75" t="s">
        <v>41</v>
      </c>
      <c r="G261" s="75">
        <f>SUM(G219:G260)</f>
        <v>0</v>
      </c>
    </row>
    <row r="262" spans="1:7" ht="15.75" thickTop="1">
      <c r="E262" s="104"/>
    </row>
    <row r="263" spans="1:7">
      <c r="A263" s="5" t="s">
        <v>125</v>
      </c>
      <c r="B263" s="6" t="s">
        <v>126</v>
      </c>
      <c r="C263" s="25"/>
      <c r="D263" s="30"/>
      <c r="E263" s="105"/>
      <c r="F263" s="25"/>
      <c r="G263" s="25"/>
    </row>
    <row r="264" spans="1:7">
      <c r="E264" s="104"/>
    </row>
    <row r="265" spans="1:7" ht="45">
      <c r="A265" s="3" t="s">
        <v>19</v>
      </c>
      <c r="B265" s="2" t="s">
        <v>127</v>
      </c>
      <c r="E265" s="104"/>
    </row>
    <row r="266" spans="1:7">
      <c r="E266" s="104"/>
    </row>
    <row r="267" spans="1:7">
      <c r="B267" s="2" t="s">
        <v>59</v>
      </c>
      <c r="C267" s="1">
        <v>1</v>
      </c>
      <c r="E267" s="101">
        <v>0</v>
      </c>
      <c r="G267" s="69">
        <f>C267*E267</f>
        <v>0</v>
      </c>
    </row>
    <row r="268" spans="1:7">
      <c r="E268" s="104"/>
    </row>
    <row r="269" spans="1:7" ht="60">
      <c r="A269" s="3" t="s">
        <v>46</v>
      </c>
      <c r="B269" s="2" t="s">
        <v>128</v>
      </c>
      <c r="E269" s="104"/>
    </row>
    <row r="270" spans="1:7">
      <c r="E270" s="104"/>
    </row>
    <row r="271" spans="1:7">
      <c r="B271" s="2" t="s">
        <v>59</v>
      </c>
      <c r="C271" s="1">
        <v>6</v>
      </c>
      <c r="E271" s="101">
        <v>0</v>
      </c>
      <c r="G271" s="69">
        <f>C271*E271</f>
        <v>0</v>
      </c>
    </row>
    <row r="272" spans="1:7">
      <c r="E272" s="102"/>
      <c r="G272" s="72"/>
    </row>
    <row r="273" spans="1:7" ht="15.75" thickBot="1">
      <c r="A273" s="79"/>
      <c r="B273" s="74" t="s">
        <v>129</v>
      </c>
      <c r="C273" s="75"/>
      <c r="D273" s="76"/>
      <c r="E273" s="103"/>
      <c r="F273" s="75" t="s">
        <v>41</v>
      </c>
      <c r="G273" s="75">
        <f>SUM(G263:G272)</f>
        <v>0</v>
      </c>
    </row>
    <row r="274" spans="1:7" ht="15.75" thickTop="1">
      <c r="E274" s="104"/>
    </row>
    <row r="275" spans="1:7">
      <c r="A275" s="5" t="s">
        <v>134</v>
      </c>
      <c r="B275" s="6" t="s">
        <v>135</v>
      </c>
      <c r="E275" s="104"/>
    </row>
    <row r="276" spans="1:7">
      <c r="E276" s="104"/>
    </row>
    <row r="277" spans="1:7" ht="60">
      <c r="A277" s="3" t="s">
        <v>111</v>
      </c>
      <c r="B277" s="2" t="s">
        <v>139</v>
      </c>
      <c r="E277" s="104"/>
    </row>
    <row r="278" spans="1:7">
      <c r="E278" s="104"/>
    </row>
    <row r="279" spans="1:7" ht="105">
      <c r="B279" s="2" t="s">
        <v>141</v>
      </c>
      <c r="E279" s="104"/>
    </row>
    <row r="280" spans="1:7">
      <c r="E280" s="104"/>
    </row>
    <row r="281" spans="1:7" ht="45">
      <c r="A281" s="3" t="s">
        <v>19</v>
      </c>
      <c r="B281" s="2" t="s">
        <v>142</v>
      </c>
      <c r="E281" s="104"/>
    </row>
    <row r="282" spans="1:7">
      <c r="E282" s="104"/>
    </row>
    <row r="283" spans="1:7">
      <c r="A283" s="3" t="s">
        <v>115</v>
      </c>
      <c r="B283" s="2" t="s">
        <v>245</v>
      </c>
      <c r="C283" s="1">
        <v>4</v>
      </c>
      <c r="E283" s="101">
        <v>0</v>
      </c>
      <c r="G283" s="69">
        <f>C283*E283</f>
        <v>0</v>
      </c>
    </row>
    <row r="284" spans="1:7">
      <c r="E284" s="104"/>
    </row>
    <row r="285" spans="1:7">
      <c r="A285" s="3" t="s">
        <v>115</v>
      </c>
      <c r="B285" s="2" t="s">
        <v>144</v>
      </c>
      <c r="C285" s="1">
        <v>28</v>
      </c>
      <c r="E285" s="101">
        <v>0</v>
      </c>
      <c r="G285" s="69">
        <f>C285*E285</f>
        <v>0</v>
      </c>
    </row>
    <row r="286" spans="1:7">
      <c r="E286" s="104"/>
    </row>
    <row r="287" spans="1:7" ht="45">
      <c r="A287" s="3" t="s">
        <v>50</v>
      </c>
      <c r="B287" s="2" t="s">
        <v>192</v>
      </c>
      <c r="E287" s="104"/>
    </row>
    <row r="288" spans="1:7">
      <c r="E288" s="104"/>
    </row>
    <row r="289" spans="1:7">
      <c r="B289" s="2" t="s">
        <v>59</v>
      </c>
      <c r="C289" s="1">
        <v>20</v>
      </c>
      <c r="E289" s="101">
        <v>0</v>
      </c>
      <c r="G289" s="69">
        <f>C289*E289</f>
        <v>0</v>
      </c>
    </row>
    <row r="290" spans="1:7">
      <c r="E290" s="104"/>
    </row>
    <row r="291" spans="1:7" ht="195" customHeight="1">
      <c r="A291" s="3" t="s">
        <v>52</v>
      </c>
      <c r="B291" s="2" t="s">
        <v>184</v>
      </c>
      <c r="E291" s="104"/>
    </row>
    <row r="292" spans="1:7">
      <c r="E292" s="104"/>
    </row>
    <row r="293" spans="1:7">
      <c r="A293" s="3" t="s">
        <v>114</v>
      </c>
      <c r="B293" s="2" t="s">
        <v>246</v>
      </c>
      <c r="C293" s="1">
        <v>4</v>
      </c>
      <c r="E293" s="101">
        <v>0</v>
      </c>
      <c r="G293" s="69">
        <f>C293*E293</f>
        <v>0</v>
      </c>
    </row>
    <row r="294" spans="1:7">
      <c r="E294" s="104"/>
    </row>
    <row r="295" spans="1:7">
      <c r="A295" s="3" t="s">
        <v>115</v>
      </c>
      <c r="B295" s="2" t="s">
        <v>147</v>
      </c>
      <c r="C295" s="1">
        <v>28</v>
      </c>
      <c r="E295" s="101">
        <v>0</v>
      </c>
      <c r="G295" s="69">
        <f>C295*E295</f>
        <v>0</v>
      </c>
    </row>
    <row r="296" spans="1:7">
      <c r="E296" s="104"/>
    </row>
    <row r="297" spans="1:7" ht="15.75" thickBot="1">
      <c r="A297" s="79"/>
      <c r="B297" s="81" t="s">
        <v>153</v>
      </c>
      <c r="C297" s="82"/>
      <c r="D297" s="83"/>
      <c r="E297" s="109"/>
      <c r="F297" s="84" t="s">
        <v>41</v>
      </c>
      <c r="G297" s="85">
        <f>SUM(G275:G296)</f>
        <v>0</v>
      </c>
    </row>
    <row r="298" spans="1:7" ht="15.75" thickTop="1">
      <c r="B298" s="20"/>
      <c r="C298" s="31"/>
      <c r="D298" s="26"/>
      <c r="E298" s="106"/>
      <c r="F298" s="33"/>
      <c r="G298" s="32"/>
    </row>
    <row r="299" spans="1:7">
      <c r="A299" s="5" t="s">
        <v>136</v>
      </c>
      <c r="B299" s="6" t="s">
        <v>137</v>
      </c>
      <c r="E299" s="104"/>
      <c r="F299" s="34"/>
    </row>
    <row r="300" spans="1:7">
      <c r="E300" s="104"/>
      <c r="F300" s="34"/>
    </row>
    <row r="301" spans="1:7" ht="135">
      <c r="A301" s="3" t="s">
        <v>111</v>
      </c>
      <c r="B301" s="2" t="s">
        <v>140</v>
      </c>
      <c r="E301" s="104"/>
      <c r="F301" s="34"/>
    </row>
    <row r="302" spans="1:7">
      <c r="E302" s="104"/>
      <c r="F302" s="34"/>
    </row>
    <row r="303" spans="1:7" ht="90">
      <c r="A303" s="3" t="s">
        <v>19</v>
      </c>
      <c r="B303" s="17" t="s">
        <v>156</v>
      </c>
      <c r="E303" s="104"/>
      <c r="F303" s="34"/>
    </row>
    <row r="304" spans="1:7">
      <c r="B304" s="21"/>
      <c r="E304" s="104"/>
      <c r="F304" s="34"/>
    </row>
    <row r="305" spans="1:7">
      <c r="B305" s="2" t="s">
        <v>45</v>
      </c>
      <c r="C305" s="1">
        <f>C119</f>
        <v>724.995</v>
      </c>
      <c r="E305" s="101">
        <v>0</v>
      </c>
      <c r="G305" s="69">
        <f>C305*E305</f>
        <v>0</v>
      </c>
    </row>
    <row r="306" spans="1:7">
      <c r="E306" s="104"/>
      <c r="F306" s="34"/>
    </row>
    <row r="307" spans="1:7" ht="90" customHeight="1">
      <c r="A307" s="3" t="s">
        <v>154</v>
      </c>
      <c r="B307" s="17" t="s">
        <v>155</v>
      </c>
      <c r="E307" s="104"/>
      <c r="F307" s="34"/>
    </row>
    <row r="308" spans="1:7">
      <c r="E308" s="104"/>
      <c r="F308" s="34"/>
    </row>
    <row r="309" spans="1:7">
      <c r="B309" s="2" t="s">
        <v>45</v>
      </c>
      <c r="C309" s="1">
        <f>C305</f>
        <v>724.995</v>
      </c>
      <c r="E309" s="101">
        <v>0</v>
      </c>
      <c r="G309" s="69">
        <f>C309*E309</f>
        <v>0</v>
      </c>
    </row>
    <row r="310" spans="1:7">
      <c r="E310" s="104"/>
      <c r="F310" s="34"/>
    </row>
    <row r="311" spans="1:7" ht="255">
      <c r="A311" s="3" t="s">
        <v>50</v>
      </c>
      <c r="B311" s="17" t="s">
        <v>173</v>
      </c>
      <c r="E311" s="104"/>
      <c r="F311" s="34"/>
    </row>
    <row r="312" spans="1:7">
      <c r="B312" s="17"/>
      <c r="E312" s="104"/>
      <c r="F312" s="34"/>
    </row>
    <row r="313" spans="1:7">
      <c r="A313" s="3" t="s">
        <v>114</v>
      </c>
      <c r="B313" s="17" t="s">
        <v>258</v>
      </c>
      <c r="C313" s="1">
        <v>1</v>
      </c>
      <c r="E313" s="101">
        <v>0</v>
      </c>
      <c r="G313" s="69">
        <f>C313*E313</f>
        <v>0</v>
      </c>
    </row>
    <row r="314" spans="1:7">
      <c r="B314" s="17"/>
      <c r="E314" s="104"/>
      <c r="F314" s="34"/>
    </row>
    <row r="315" spans="1:7">
      <c r="A315" s="3" t="s">
        <v>115</v>
      </c>
      <c r="B315" s="17" t="s">
        <v>147</v>
      </c>
      <c r="C315" s="1">
        <v>8</v>
      </c>
      <c r="E315" s="101">
        <v>0</v>
      </c>
      <c r="G315" s="69">
        <f>C315*E315</f>
        <v>0</v>
      </c>
    </row>
    <row r="316" spans="1:7">
      <c r="B316" s="17"/>
      <c r="E316" s="104"/>
      <c r="F316" s="34"/>
    </row>
    <row r="317" spans="1:7" ht="45">
      <c r="A317" s="3" t="s">
        <v>52</v>
      </c>
      <c r="B317" s="17" t="s">
        <v>158</v>
      </c>
      <c r="E317" s="104"/>
      <c r="F317" s="34"/>
    </row>
    <row r="318" spans="1:7">
      <c r="B318" s="17"/>
      <c r="E318" s="104"/>
      <c r="F318" s="34"/>
    </row>
    <row r="319" spans="1:7">
      <c r="B319" s="17" t="s">
        <v>45</v>
      </c>
      <c r="C319" s="1">
        <v>1</v>
      </c>
      <c r="E319" s="101">
        <v>0</v>
      </c>
      <c r="G319" s="69">
        <f>C319*E319</f>
        <v>0</v>
      </c>
    </row>
    <row r="320" spans="1:7">
      <c r="B320" s="17"/>
      <c r="E320" s="104"/>
      <c r="F320" s="34"/>
    </row>
    <row r="321" spans="1:7" ht="15.75" thickBot="1">
      <c r="A321" s="79"/>
      <c r="B321" s="74" t="s">
        <v>160</v>
      </c>
      <c r="C321" s="75"/>
      <c r="D321" s="76"/>
      <c r="E321" s="103"/>
      <c r="F321" s="86" t="s">
        <v>41</v>
      </c>
      <c r="G321" s="75">
        <f>SUM(G299:G320)</f>
        <v>0</v>
      </c>
    </row>
    <row r="322" spans="1:7" ht="15.75" thickTop="1">
      <c r="F322" s="34"/>
    </row>
    <row r="323" spans="1:7">
      <c r="A323" s="5" t="s">
        <v>161</v>
      </c>
      <c r="B323" s="6" t="s">
        <v>162</v>
      </c>
    </row>
    <row r="325" spans="1:7" ht="120">
      <c r="A325" s="3">
        <v>1</v>
      </c>
      <c r="B325" s="2" t="s">
        <v>163</v>
      </c>
      <c r="G325" s="71">
        <f>(G73+G197+G217+G261+G273+G297+G321)*0.1</f>
        <v>0</v>
      </c>
    </row>
    <row r="326" spans="1:7">
      <c r="G326" s="41"/>
    </row>
    <row r="327" spans="1:7" ht="15.75" thickBot="1">
      <c r="A327" s="79"/>
      <c r="B327" s="74" t="s">
        <v>164</v>
      </c>
      <c r="C327" s="75"/>
      <c r="D327" s="76"/>
      <c r="E327" s="75"/>
      <c r="F327" s="75" t="s">
        <v>41</v>
      </c>
      <c r="G327" s="75">
        <f>SUM(G323:G326)</f>
        <v>0</v>
      </c>
    </row>
    <row r="328" spans="1:7" ht="15.75" thickTop="1">
      <c r="A328" s="42"/>
      <c r="B328" s="43"/>
      <c r="C328" s="44"/>
      <c r="D328" s="45"/>
      <c r="E328" s="44"/>
      <c r="F328" s="44"/>
      <c r="G328" s="44"/>
    </row>
    <row r="330" spans="1:7">
      <c r="A330" s="95"/>
      <c r="B330" s="96" t="s">
        <v>165</v>
      </c>
    </row>
    <row r="332" spans="1:7">
      <c r="A332" s="3" t="s">
        <v>17</v>
      </c>
      <c r="B332" s="2" t="s">
        <v>18</v>
      </c>
      <c r="G332" s="1">
        <f>G73</f>
        <v>0</v>
      </c>
    </row>
    <row r="334" spans="1:7">
      <c r="A334" s="3" t="s">
        <v>42</v>
      </c>
      <c r="B334" s="2" t="s">
        <v>43</v>
      </c>
      <c r="G334" s="1">
        <f>G197</f>
        <v>0</v>
      </c>
    </row>
    <row r="336" spans="1:7">
      <c r="A336" s="3" t="s">
        <v>105</v>
      </c>
      <c r="B336" s="2" t="s">
        <v>106</v>
      </c>
      <c r="G336" s="1">
        <f>G217</f>
        <v>0</v>
      </c>
    </row>
    <row r="338" spans="1:7">
      <c r="A338" s="3" t="s">
        <v>109</v>
      </c>
      <c r="B338" s="2" t="s">
        <v>110</v>
      </c>
      <c r="G338" s="1">
        <f>G261</f>
        <v>0</v>
      </c>
    </row>
    <row r="340" spans="1:7">
      <c r="A340" s="3" t="s">
        <v>125</v>
      </c>
      <c r="B340" s="2" t="s">
        <v>126</v>
      </c>
      <c r="G340" s="1">
        <f>G273</f>
        <v>0</v>
      </c>
    </row>
    <row r="342" spans="1:7">
      <c r="A342" s="3" t="s">
        <v>134</v>
      </c>
      <c r="B342" s="2" t="s">
        <v>135</v>
      </c>
      <c r="G342" s="1">
        <f>G297</f>
        <v>0</v>
      </c>
    </row>
    <row r="344" spans="1:7">
      <c r="A344" s="3" t="s">
        <v>136</v>
      </c>
      <c r="B344" s="2" t="s">
        <v>166</v>
      </c>
      <c r="G344" s="1">
        <f>G321</f>
        <v>0</v>
      </c>
    </row>
    <row r="346" spans="1:7">
      <c r="A346" s="3" t="s">
        <v>161</v>
      </c>
      <c r="B346" s="2" t="s">
        <v>167</v>
      </c>
      <c r="G346" s="1">
        <f>G327</f>
        <v>0</v>
      </c>
    </row>
    <row r="348" spans="1:7" ht="15.75" thickBot="1">
      <c r="A348" s="73"/>
      <c r="B348" s="74" t="s">
        <v>168</v>
      </c>
      <c r="C348" s="88"/>
      <c r="D348" s="89"/>
      <c r="E348" s="88"/>
      <c r="F348" s="88"/>
      <c r="G348" s="75">
        <f>SUM(G330:G347)</f>
        <v>0</v>
      </c>
    </row>
    <row r="349" spans="1:7" ht="15.75" thickTop="1"/>
    <row r="354" spans="2:7">
      <c r="B354" s="17"/>
      <c r="C354" s="31"/>
      <c r="D354" s="26"/>
      <c r="E354" s="26"/>
      <c r="F354" s="33"/>
      <c r="G354" s="32"/>
    </row>
    <row r="355" spans="2:7">
      <c r="B355" s="17"/>
      <c r="C355" s="31"/>
      <c r="D355" s="26"/>
      <c r="E355" s="26"/>
      <c r="F355" s="33"/>
      <c r="G355" s="32"/>
    </row>
    <row r="356" spans="2:7">
      <c r="B356" s="17"/>
      <c r="C356" s="31"/>
      <c r="D356" s="26"/>
      <c r="E356" s="26"/>
      <c r="F356" s="33"/>
      <c r="G356" s="32"/>
    </row>
    <row r="357" spans="2:7">
      <c r="B357" s="17"/>
      <c r="C357" s="31"/>
      <c r="D357" s="26"/>
      <c r="E357" s="26"/>
      <c r="F357" s="33"/>
      <c r="G357" s="32"/>
    </row>
    <row r="358" spans="2:7">
      <c r="B358" s="17"/>
      <c r="C358" s="31"/>
      <c r="D358" s="26"/>
      <c r="E358" s="26"/>
      <c r="F358" s="33"/>
      <c r="G358" s="32"/>
    </row>
    <row r="359" spans="2:7">
      <c r="B359" s="17"/>
      <c r="C359" s="31"/>
      <c r="D359" s="26"/>
      <c r="E359" s="26"/>
      <c r="F359" s="33"/>
      <c r="G359" s="32"/>
    </row>
    <row r="360" spans="2:7">
      <c r="B360" s="17"/>
      <c r="C360" s="31"/>
      <c r="D360" s="26"/>
      <c r="E360" s="26"/>
      <c r="F360" s="33"/>
      <c r="G360" s="32"/>
    </row>
    <row r="361" spans="2:7">
      <c r="B361" s="17"/>
      <c r="C361" s="31"/>
      <c r="D361" s="26"/>
      <c r="E361" s="26"/>
      <c r="F361" s="33"/>
      <c r="G361" s="32"/>
    </row>
    <row r="362" spans="2:7">
      <c r="B362" s="17"/>
      <c r="C362" s="31"/>
      <c r="D362" s="26"/>
      <c r="E362" s="26"/>
      <c r="F362" s="33"/>
      <c r="G362" s="32"/>
    </row>
    <row r="363" spans="2:7">
      <c r="B363" s="17"/>
      <c r="C363" s="31"/>
      <c r="D363" s="26"/>
      <c r="E363" s="26"/>
      <c r="F363" s="33"/>
      <c r="G363" s="32"/>
    </row>
    <row r="364" spans="2:7">
      <c r="B364" s="17"/>
      <c r="C364" s="31"/>
      <c r="D364" s="26"/>
      <c r="E364" s="26"/>
      <c r="F364" s="33"/>
      <c r="G364" s="32"/>
    </row>
    <row r="365" spans="2:7">
      <c r="B365" s="17"/>
      <c r="C365" s="31"/>
      <c r="D365" s="26"/>
      <c r="E365" s="26"/>
      <c r="F365" s="33"/>
      <c r="G365" s="32"/>
    </row>
    <row r="366" spans="2:7">
      <c r="B366" s="17"/>
      <c r="C366" s="31"/>
      <c r="D366" s="26"/>
      <c r="E366" s="26"/>
      <c r="F366" s="33"/>
      <c r="G366" s="32"/>
    </row>
    <row r="367" spans="2:7">
      <c r="B367" s="17"/>
      <c r="C367" s="31"/>
      <c r="D367" s="26"/>
      <c r="E367" s="26"/>
      <c r="F367" s="33"/>
      <c r="G367" s="32"/>
    </row>
    <row r="368" spans="2:7">
      <c r="B368" s="17"/>
      <c r="C368" s="31"/>
      <c r="D368" s="26"/>
      <c r="E368" s="26"/>
      <c r="F368" s="33"/>
      <c r="G368" s="32"/>
    </row>
    <row r="369" spans="1:7">
      <c r="B369" s="17"/>
      <c r="C369" s="31"/>
      <c r="D369" s="26"/>
      <c r="E369" s="26"/>
      <c r="F369" s="33"/>
      <c r="G369" s="32"/>
    </row>
    <row r="370" spans="1:7">
      <c r="B370" s="17"/>
      <c r="C370" s="31"/>
      <c r="D370" s="26"/>
      <c r="E370" s="26"/>
      <c r="F370" s="33"/>
      <c r="G370" s="32"/>
    </row>
    <row r="371" spans="1:7">
      <c r="B371" s="17"/>
      <c r="C371" s="31"/>
      <c r="D371" s="26"/>
      <c r="E371" s="26"/>
      <c r="F371" s="33"/>
      <c r="G371" s="32"/>
    </row>
    <row r="372" spans="1:7">
      <c r="B372" s="17"/>
      <c r="C372" s="31"/>
      <c r="D372" s="26"/>
      <c r="E372" s="26"/>
      <c r="F372" s="33"/>
      <c r="G372" s="32"/>
    </row>
    <row r="373" spans="1:7">
      <c r="B373" s="17"/>
      <c r="C373" s="31"/>
      <c r="D373" s="26"/>
      <c r="E373" s="26"/>
      <c r="F373" s="33"/>
      <c r="G373" s="32"/>
    </row>
    <row r="374" spans="1:7">
      <c r="B374" s="17"/>
      <c r="C374" s="31"/>
      <c r="D374" s="26"/>
      <c r="E374" s="26"/>
      <c r="F374" s="33"/>
      <c r="G374" s="32"/>
    </row>
    <row r="375" spans="1:7">
      <c r="B375" s="17"/>
      <c r="C375" s="31"/>
      <c r="D375" s="26"/>
      <c r="E375" s="26"/>
      <c r="F375" s="33"/>
      <c r="G375" s="32"/>
    </row>
    <row r="376" spans="1:7">
      <c r="B376" s="17"/>
      <c r="C376" s="31"/>
      <c r="D376" s="26"/>
      <c r="E376" s="26"/>
      <c r="F376" s="33"/>
      <c r="G376" s="32"/>
    </row>
    <row r="377" spans="1:7">
      <c r="B377" s="17"/>
      <c r="C377" s="31"/>
      <c r="D377" s="26"/>
      <c r="E377" s="26"/>
      <c r="F377" s="33"/>
      <c r="G377" s="32"/>
    </row>
    <row r="378" spans="1:7">
      <c r="B378" s="17"/>
      <c r="C378" s="31"/>
      <c r="D378" s="26"/>
      <c r="E378" s="26"/>
      <c r="F378" s="33"/>
      <c r="G378" s="32"/>
    </row>
    <row r="379" spans="1:7">
      <c r="B379" s="17"/>
      <c r="C379" s="31"/>
      <c r="D379" s="26"/>
      <c r="E379" s="26"/>
      <c r="F379" s="33"/>
      <c r="G379" s="32"/>
    </row>
    <row r="380" spans="1:7">
      <c r="B380" s="17"/>
      <c r="C380" s="31"/>
      <c r="D380" s="26"/>
      <c r="E380" s="26"/>
      <c r="F380" s="33"/>
      <c r="G380" s="32"/>
    </row>
    <row r="381" spans="1:7">
      <c r="B381" s="17"/>
      <c r="C381" s="31"/>
      <c r="D381" s="26"/>
      <c r="E381" s="26"/>
      <c r="F381" s="33"/>
      <c r="G381" s="32"/>
    </row>
    <row r="382" spans="1:7">
      <c r="B382" s="17"/>
      <c r="C382" s="31"/>
      <c r="D382" s="26"/>
      <c r="E382" s="26"/>
      <c r="F382" s="33"/>
      <c r="G382" s="32"/>
    </row>
    <row r="383" spans="1:7">
      <c r="B383" s="17"/>
      <c r="C383" s="31"/>
      <c r="D383" s="26"/>
      <c r="E383" s="26"/>
      <c r="F383" s="33"/>
      <c r="G383" s="32"/>
    </row>
    <row r="384" spans="1:7">
      <c r="A384" s="23"/>
      <c r="B384" s="17"/>
      <c r="C384" s="36"/>
      <c r="D384" s="37"/>
      <c r="E384" s="37"/>
      <c r="F384" s="38"/>
      <c r="G384" s="39"/>
    </row>
    <row r="385" spans="1:7">
      <c r="A385" s="23"/>
      <c r="B385" s="17"/>
      <c r="C385" s="36"/>
      <c r="D385" s="37"/>
      <c r="E385" s="37"/>
      <c r="F385" s="38"/>
      <c r="G385" s="39"/>
    </row>
    <row r="386" spans="1:7">
      <c r="A386" s="23"/>
      <c r="B386" s="17"/>
      <c r="C386" s="36"/>
      <c r="D386" s="37"/>
      <c r="E386" s="37"/>
      <c r="F386" s="38"/>
      <c r="G386" s="39"/>
    </row>
  </sheetData>
  <sheetProtection algorithmName="SHA-512" hashValue="MGVtq+k5E6p9B17+qylf7qWSRKmeTf7YYQHuKxMTME+QU5zhb1tl9lQOGn4O31Prwd1owygIX2l+Ny7w6js/XA==" saltValue="6snwtvlPcP3N5x7T8WmJSQ==" spinCount="100000" sheet="1" objects="1" scenarios="1" selectLockedCells="1"/>
  <mergeCells count="1">
    <mergeCell ref="A2:G2"/>
  </mergeCells>
  <pageMargins left="0.9055118110236221" right="0.51181102362204722" top="0.6692913385826772" bottom="0.55118110236220474" header="0.31496062992125984" footer="0.31496062992125984"/>
  <pageSetup paperSize="9" scale="90"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24F06D6-08CC-4A85-AF91-8767943FEBF1}">
  <sheetPr>
    <tabColor rgb="FF00B0F0"/>
  </sheetPr>
  <dimension ref="A1:G368"/>
  <sheetViews>
    <sheetView showGridLines="0" view="pageBreakPreview" zoomScaleNormal="100" zoomScaleSheetLayoutView="100" workbookViewId="0">
      <selection activeCell="E84" sqref="E84:E340"/>
    </sheetView>
  </sheetViews>
  <sheetFormatPr defaultRowHeight="15"/>
  <cols>
    <col min="1" max="1" width="10.5703125" style="3" customWidth="1"/>
    <col min="2" max="2" width="44" style="2" customWidth="1"/>
    <col min="3" max="3" width="9.5703125" style="1" customWidth="1"/>
    <col min="4" max="4" width="3.5703125" style="28" customWidth="1"/>
    <col min="5" max="5" width="10.5703125" style="1" customWidth="1"/>
    <col min="6" max="6" width="4.85546875" style="1" customWidth="1"/>
    <col min="7" max="7" width="11.85546875" style="1" customWidth="1"/>
  </cols>
  <sheetData>
    <row r="1" spans="1:7" ht="19.5">
      <c r="A1" s="47" t="s">
        <v>364</v>
      </c>
      <c r="C1" s="48"/>
      <c r="D1" s="27"/>
      <c r="E1" s="48"/>
      <c r="F1" s="48"/>
      <c r="G1" s="114" t="s">
        <v>365</v>
      </c>
    </row>
    <row r="2" spans="1:7" ht="15.75" customHeight="1">
      <c r="A2" s="118" t="s">
        <v>366</v>
      </c>
      <c r="B2" s="118"/>
      <c r="C2" s="118"/>
      <c r="D2" s="118"/>
      <c r="E2" s="118"/>
      <c r="F2" s="118"/>
      <c r="G2" s="118"/>
    </row>
    <row r="3" spans="1:7" ht="18.75">
      <c r="A3" s="11"/>
      <c r="B3" s="12"/>
    </row>
    <row r="4" spans="1:7" ht="18.75">
      <c r="A4" s="5" t="s">
        <v>37</v>
      </c>
      <c r="B4" s="12"/>
    </row>
    <row r="5" spans="1:7" ht="18.75">
      <c r="A5" s="5"/>
      <c r="B5" s="12"/>
    </row>
    <row r="20" spans="1:1">
      <c r="A20" s="3" t="s">
        <v>193</v>
      </c>
    </row>
    <row r="37" spans="1:1">
      <c r="A37" s="3" t="s">
        <v>337</v>
      </c>
    </row>
    <row r="52" spans="1:2">
      <c r="A52" s="3" t="s">
        <v>336</v>
      </c>
    </row>
    <row r="53" spans="1:2">
      <c r="A53" s="5" t="s">
        <v>0</v>
      </c>
      <c r="B53" s="6"/>
    </row>
    <row r="55" spans="1:2" ht="75">
      <c r="A55" s="3" t="s">
        <v>1</v>
      </c>
      <c r="B55" s="2" t="s">
        <v>2</v>
      </c>
    </row>
    <row r="56" spans="1:2" ht="45">
      <c r="A56" s="4" t="s">
        <v>3</v>
      </c>
      <c r="B56" s="2" t="s">
        <v>296</v>
      </c>
    </row>
    <row r="57" spans="1:2" ht="60">
      <c r="A57" s="4" t="s">
        <v>1</v>
      </c>
      <c r="B57" s="2" t="s">
        <v>5</v>
      </c>
    </row>
    <row r="58" spans="1:2" ht="90" customHeight="1">
      <c r="A58" s="4" t="s">
        <v>1</v>
      </c>
      <c r="B58" s="6" t="s">
        <v>297</v>
      </c>
    </row>
    <row r="59" spans="1:2" ht="105.75" customHeight="1">
      <c r="A59" s="4" t="s">
        <v>1</v>
      </c>
      <c r="B59" s="2" t="s">
        <v>8</v>
      </c>
    </row>
    <row r="60" spans="1:2" ht="75">
      <c r="A60" s="4" t="s">
        <v>1</v>
      </c>
      <c r="B60" s="2" t="s">
        <v>9</v>
      </c>
    </row>
    <row r="61" spans="1:2" ht="75">
      <c r="A61" s="4" t="s">
        <v>1</v>
      </c>
      <c r="B61" s="2" t="s">
        <v>12</v>
      </c>
    </row>
    <row r="62" spans="1:2" ht="60">
      <c r="A62" s="4" t="s">
        <v>1</v>
      </c>
      <c r="B62" s="2" t="s">
        <v>171</v>
      </c>
    </row>
    <row r="63" spans="1:2" ht="90" customHeight="1">
      <c r="A63" s="4" t="s">
        <v>1</v>
      </c>
      <c r="B63" s="2" t="s">
        <v>16</v>
      </c>
    </row>
    <row r="65" spans="1:2">
      <c r="A65" s="5" t="s">
        <v>17</v>
      </c>
      <c r="B65" s="6" t="s">
        <v>18</v>
      </c>
    </row>
    <row r="67" spans="1:2">
      <c r="A67" s="3" t="s">
        <v>19</v>
      </c>
      <c r="B67" s="55" t="s">
        <v>205</v>
      </c>
    </row>
    <row r="68" spans="1:2" ht="105">
      <c r="B68" s="56" t="s">
        <v>22</v>
      </c>
    </row>
    <row r="69" spans="1:2">
      <c r="B69" s="9" t="s">
        <v>23</v>
      </c>
    </row>
    <row r="70" spans="1:2" ht="30">
      <c r="B70" s="9" t="s">
        <v>24</v>
      </c>
    </row>
    <row r="71" spans="1:2" ht="45">
      <c r="B71" s="9" t="s">
        <v>25</v>
      </c>
    </row>
    <row r="72" spans="1:2" ht="60">
      <c r="B72" s="9" t="s">
        <v>32</v>
      </c>
    </row>
    <row r="73" spans="1:2" ht="45">
      <c r="B73" s="9" t="s">
        <v>33</v>
      </c>
    </row>
    <row r="74" spans="1:2" ht="75">
      <c r="B74" s="9" t="s">
        <v>34</v>
      </c>
    </row>
    <row r="75" spans="1:2" ht="30">
      <c r="B75" s="9" t="s">
        <v>26</v>
      </c>
    </row>
    <row r="76" spans="1:2" ht="30">
      <c r="B76" s="9" t="s">
        <v>27</v>
      </c>
    </row>
    <row r="77" spans="1:2" ht="45">
      <c r="B77" s="9" t="s">
        <v>28</v>
      </c>
    </row>
    <row r="78" spans="1:2" ht="60">
      <c r="B78" s="9" t="s">
        <v>29</v>
      </c>
    </row>
    <row r="79" spans="1:2">
      <c r="B79" s="9" t="s">
        <v>30</v>
      </c>
    </row>
    <row r="80" spans="1:2">
      <c r="B80" s="9" t="s">
        <v>31</v>
      </c>
    </row>
    <row r="82" spans="1:7" ht="30">
      <c r="B82" s="10" t="s">
        <v>35</v>
      </c>
    </row>
    <row r="84" spans="1:7">
      <c r="B84" s="2" t="s">
        <v>36</v>
      </c>
      <c r="C84" s="1">
        <v>1</v>
      </c>
      <c r="E84" s="101">
        <v>0</v>
      </c>
      <c r="G84" s="69">
        <f>C84*E84</f>
        <v>0</v>
      </c>
    </row>
    <row r="85" spans="1:7">
      <c r="E85" s="104"/>
    </row>
    <row r="86" spans="1:7" ht="15.75" thickBot="1">
      <c r="A86" s="73"/>
      <c r="B86" s="74" t="s">
        <v>40</v>
      </c>
      <c r="C86" s="75"/>
      <c r="D86" s="76"/>
      <c r="E86" s="103"/>
      <c r="F86" s="75" t="s">
        <v>41</v>
      </c>
      <c r="G86" s="75">
        <f>SUM(G65:G85)</f>
        <v>0</v>
      </c>
    </row>
    <row r="87" spans="1:7" ht="15.75" thickTop="1">
      <c r="E87" s="104"/>
    </row>
    <row r="88" spans="1:7">
      <c r="A88" s="5" t="s">
        <v>42</v>
      </c>
      <c r="B88" s="6" t="s">
        <v>43</v>
      </c>
      <c r="E88" s="104"/>
    </row>
    <row r="89" spans="1:7">
      <c r="E89" s="104"/>
    </row>
    <row r="90" spans="1:7" ht="45">
      <c r="A90" s="3" t="s">
        <v>19</v>
      </c>
      <c r="B90" s="2" t="s">
        <v>48</v>
      </c>
      <c r="E90" s="104"/>
    </row>
    <row r="91" spans="1:7">
      <c r="E91" s="104"/>
    </row>
    <row r="92" spans="1:7">
      <c r="B92" s="2" t="s">
        <v>45</v>
      </c>
      <c r="C92" s="1">
        <f>(40.4*17.1+17*4.6+2*7*4.6*0.5+17.1*2+17.1*1+11*3)*1.05+0.18</f>
        <v>929.99700000000007</v>
      </c>
      <c r="E92" s="101">
        <v>0</v>
      </c>
      <c r="G92" s="69">
        <f>C92*E92</f>
        <v>0</v>
      </c>
    </row>
    <row r="93" spans="1:7">
      <c r="E93" s="104"/>
    </row>
    <row r="94" spans="1:7" ht="30">
      <c r="A94" s="3" t="s">
        <v>46</v>
      </c>
      <c r="B94" s="2" t="s">
        <v>49</v>
      </c>
      <c r="E94" s="104"/>
    </row>
    <row r="95" spans="1:7">
      <c r="E95" s="104"/>
    </row>
    <row r="96" spans="1:7">
      <c r="B96" s="2" t="s">
        <v>36</v>
      </c>
      <c r="C96" s="1">
        <v>2</v>
      </c>
      <c r="E96" s="101">
        <v>0</v>
      </c>
      <c r="G96" s="69">
        <f>C96*E96</f>
        <v>0</v>
      </c>
    </row>
    <row r="97" spans="1:7">
      <c r="E97" s="104"/>
    </row>
    <row r="98" spans="1:7" ht="30">
      <c r="A98" s="3" t="s">
        <v>50</v>
      </c>
      <c r="B98" s="2" t="s">
        <v>51</v>
      </c>
      <c r="E98" s="104"/>
    </row>
    <row r="99" spans="1:7">
      <c r="E99" s="104"/>
    </row>
    <row r="100" spans="1:7">
      <c r="B100" s="2" t="s">
        <v>36</v>
      </c>
      <c r="C100" s="1">
        <v>2</v>
      </c>
      <c r="E100" s="101">
        <v>0</v>
      </c>
      <c r="G100" s="69">
        <f>C100*E100</f>
        <v>0</v>
      </c>
    </row>
    <row r="101" spans="1:7">
      <c r="E101" s="104"/>
    </row>
    <row r="102" spans="1:7" ht="30">
      <c r="A102" s="3" t="s">
        <v>52</v>
      </c>
      <c r="B102" s="2" t="s">
        <v>53</v>
      </c>
      <c r="E102" s="104"/>
    </row>
    <row r="103" spans="1:7">
      <c r="E103" s="104"/>
    </row>
    <row r="104" spans="1:7">
      <c r="B104" s="2" t="s">
        <v>36</v>
      </c>
      <c r="C104" s="1">
        <v>7</v>
      </c>
      <c r="E104" s="101">
        <v>0</v>
      </c>
      <c r="G104" s="69">
        <f>C104*E104</f>
        <v>0</v>
      </c>
    </row>
    <row r="105" spans="1:7">
      <c r="E105" s="104"/>
    </row>
    <row r="106" spans="1:7" ht="15.75" customHeight="1">
      <c r="A106" s="3" t="s">
        <v>54</v>
      </c>
      <c r="B106" s="2" t="s">
        <v>55</v>
      </c>
      <c r="E106" s="104"/>
    </row>
    <row r="107" spans="1:7">
      <c r="E107" s="104"/>
    </row>
    <row r="108" spans="1:7">
      <c r="B108" s="2" t="s">
        <v>56</v>
      </c>
      <c r="C108" s="1">
        <f>(40.4)*1.05-0.42</f>
        <v>42</v>
      </c>
      <c r="E108" s="101">
        <v>0</v>
      </c>
      <c r="G108" s="69">
        <f>C108*E108</f>
        <v>0</v>
      </c>
    </row>
    <row r="109" spans="1:7">
      <c r="E109" s="104"/>
    </row>
    <row r="110" spans="1:7" ht="75">
      <c r="A110" s="3" t="s">
        <v>57</v>
      </c>
      <c r="B110" s="10" t="s">
        <v>301</v>
      </c>
      <c r="E110" s="104"/>
    </row>
    <row r="111" spans="1:7">
      <c r="E111" s="104"/>
    </row>
    <row r="112" spans="1:7">
      <c r="B112" s="2" t="s">
        <v>45</v>
      </c>
      <c r="C112" s="1">
        <v>241</v>
      </c>
      <c r="E112" s="101">
        <v>0</v>
      </c>
      <c r="G112" s="69">
        <f>C112*E112</f>
        <v>0</v>
      </c>
    </row>
    <row r="113" spans="1:7">
      <c r="E113" s="104"/>
    </row>
    <row r="114" spans="1:7" ht="45">
      <c r="A114" s="3" t="s">
        <v>58</v>
      </c>
      <c r="B114" s="2" t="s">
        <v>60</v>
      </c>
      <c r="E114" s="104"/>
    </row>
    <row r="115" spans="1:7">
      <c r="E115" s="104"/>
    </row>
    <row r="116" spans="1:7">
      <c r="B116" s="2" t="s">
        <v>59</v>
      </c>
      <c r="C116" s="1">
        <f>15-3</f>
        <v>12</v>
      </c>
      <c r="E116" s="101">
        <v>0</v>
      </c>
      <c r="G116" s="69">
        <f>C116*E116</f>
        <v>0</v>
      </c>
    </row>
    <row r="117" spans="1:7">
      <c r="E117" s="104"/>
    </row>
    <row r="118" spans="1:7" ht="30">
      <c r="A118" s="3" t="s">
        <v>61</v>
      </c>
      <c r="B118" s="2" t="s">
        <v>62</v>
      </c>
      <c r="E118" s="104"/>
    </row>
    <row r="119" spans="1:7">
      <c r="E119" s="104"/>
    </row>
    <row r="120" spans="1:7">
      <c r="B120" s="2" t="s">
        <v>63</v>
      </c>
      <c r="C120" s="1">
        <v>1</v>
      </c>
      <c r="E120" s="101">
        <v>0</v>
      </c>
      <c r="G120" s="69">
        <f>C120*E120</f>
        <v>0</v>
      </c>
    </row>
    <row r="121" spans="1:7">
      <c r="E121" s="104"/>
    </row>
    <row r="122" spans="1:7" ht="90" customHeight="1">
      <c r="A122" s="3" t="s">
        <v>64</v>
      </c>
      <c r="B122" s="17" t="s">
        <v>65</v>
      </c>
      <c r="E122" s="104"/>
    </row>
    <row r="123" spans="1:7">
      <c r="E123" s="104"/>
    </row>
    <row r="124" spans="1:7">
      <c r="B124" s="2" t="s">
        <v>56</v>
      </c>
      <c r="C124" s="1">
        <f>(40.4)*1.05+0.58</f>
        <v>43</v>
      </c>
      <c r="E124" s="101">
        <v>0</v>
      </c>
      <c r="G124" s="69">
        <f>C124*E124</f>
        <v>0</v>
      </c>
    </row>
    <row r="125" spans="1:7">
      <c r="E125" s="104"/>
    </row>
    <row r="126" spans="1:7" ht="75">
      <c r="A126" s="3" t="s">
        <v>66</v>
      </c>
      <c r="B126" s="2" t="s">
        <v>67</v>
      </c>
      <c r="E126" s="104"/>
    </row>
    <row r="127" spans="1:7">
      <c r="E127" s="104"/>
    </row>
    <row r="128" spans="1:7">
      <c r="B128" s="2" t="s">
        <v>59</v>
      </c>
      <c r="C128" s="1">
        <f>(4*40.4/0.8+16.6/0.8)+0.25</f>
        <v>222.99999999999997</v>
      </c>
      <c r="E128" s="101">
        <v>0</v>
      </c>
      <c r="G128" s="69">
        <f>C128*E128</f>
        <v>0</v>
      </c>
    </row>
    <row r="129" spans="1:7">
      <c r="E129" s="104"/>
    </row>
    <row r="130" spans="1:7" ht="120">
      <c r="A130" s="3" t="s">
        <v>68</v>
      </c>
      <c r="B130" s="2" t="s">
        <v>304</v>
      </c>
      <c r="E130" s="104"/>
    </row>
    <row r="131" spans="1:7">
      <c r="E131" s="104"/>
    </row>
    <row r="132" spans="1:7">
      <c r="B132" s="2" t="s">
        <v>45</v>
      </c>
      <c r="C132" s="1">
        <f>(41.4*17.1+17*4.6+2*7*4*0.5-40.4*5)*0.6-0.28</f>
        <v>367.00400000000008</v>
      </c>
      <c r="E132" s="101">
        <v>0</v>
      </c>
      <c r="G132" s="69">
        <f>C132*E132</f>
        <v>0</v>
      </c>
    </row>
    <row r="133" spans="1:7">
      <c r="E133" s="104"/>
    </row>
    <row r="134" spans="1:7" ht="135">
      <c r="A134" s="3" t="s">
        <v>69</v>
      </c>
      <c r="B134" s="2" t="s">
        <v>305</v>
      </c>
      <c r="E134" s="104"/>
    </row>
    <row r="135" spans="1:7">
      <c r="E135" s="104"/>
    </row>
    <row r="136" spans="1:7">
      <c r="B136" s="2" t="s">
        <v>45</v>
      </c>
      <c r="C136" s="1">
        <f>C132/0.6+0.33</f>
        <v>612.00333333333356</v>
      </c>
      <c r="E136" s="101">
        <v>0</v>
      </c>
      <c r="G136" s="69">
        <f>C136*E136</f>
        <v>0</v>
      </c>
    </row>
    <row r="137" spans="1:7">
      <c r="E137" s="104"/>
    </row>
    <row r="138" spans="1:7" ht="75">
      <c r="A138" s="3" t="s">
        <v>70</v>
      </c>
      <c r="B138" s="2" t="s">
        <v>75</v>
      </c>
      <c r="E138" s="104"/>
    </row>
    <row r="139" spans="1:7">
      <c r="E139" s="104"/>
    </row>
    <row r="140" spans="1:7">
      <c r="B140" s="2" t="s">
        <v>45</v>
      </c>
      <c r="C140" s="1">
        <f>C132</f>
        <v>367.00400000000008</v>
      </c>
      <c r="E140" s="101">
        <v>0</v>
      </c>
      <c r="G140" s="69">
        <f>C140*E140</f>
        <v>0</v>
      </c>
    </row>
    <row r="141" spans="1:7">
      <c r="E141" s="104"/>
    </row>
    <row r="142" spans="1:7" ht="60">
      <c r="A142" s="3" t="s">
        <v>73</v>
      </c>
      <c r="B142" s="2" t="s">
        <v>83</v>
      </c>
      <c r="E142" s="104"/>
    </row>
    <row r="143" spans="1:7">
      <c r="E143" s="104"/>
    </row>
    <row r="144" spans="1:7">
      <c r="B144" s="2" t="s">
        <v>45</v>
      </c>
      <c r="C144" s="1">
        <f>C136</f>
        <v>612.00333333333356</v>
      </c>
      <c r="E144" s="101">
        <v>0</v>
      </c>
      <c r="G144" s="69">
        <f>C144*E144</f>
        <v>0</v>
      </c>
    </row>
    <row r="145" spans="1:7">
      <c r="E145" s="104"/>
    </row>
    <row r="146" spans="1:7" ht="30">
      <c r="A146" s="3" t="s">
        <v>76</v>
      </c>
      <c r="B146" s="2" t="s">
        <v>306</v>
      </c>
      <c r="E146" s="104"/>
    </row>
    <row r="147" spans="1:7">
      <c r="E147" s="104"/>
    </row>
    <row r="148" spans="1:7">
      <c r="B148" s="2" t="s">
        <v>45</v>
      </c>
      <c r="C148" s="1">
        <f>C144</f>
        <v>612.00333333333356</v>
      </c>
      <c r="E148" s="101">
        <v>0</v>
      </c>
      <c r="G148" s="69">
        <f>C148*E148</f>
        <v>0</v>
      </c>
    </row>
    <row r="149" spans="1:7">
      <c r="E149" s="104"/>
    </row>
    <row r="150" spans="1:7">
      <c r="A150" s="3" t="s">
        <v>77</v>
      </c>
      <c r="B150" s="2" t="s">
        <v>220</v>
      </c>
      <c r="E150" s="104"/>
    </row>
    <row r="151" spans="1:7">
      <c r="E151" s="104"/>
    </row>
    <row r="152" spans="1:7">
      <c r="B152" s="2" t="s">
        <v>56</v>
      </c>
      <c r="C152" s="1">
        <v>42</v>
      </c>
      <c r="E152" s="101">
        <v>0</v>
      </c>
      <c r="G152" s="69">
        <f>C152*E152</f>
        <v>0</v>
      </c>
    </row>
    <row r="153" spans="1:7">
      <c r="E153" s="104"/>
    </row>
    <row r="154" spans="1:7" ht="135">
      <c r="A154" s="3" t="s">
        <v>78</v>
      </c>
      <c r="B154" s="2" t="s">
        <v>223</v>
      </c>
      <c r="E154" s="104"/>
    </row>
    <row r="155" spans="1:7">
      <c r="E155" s="104"/>
    </row>
    <row r="156" spans="1:7">
      <c r="B156" s="2" t="s">
        <v>56</v>
      </c>
      <c r="C156" s="1">
        <v>21</v>
      </c>
      <c r="E156" s="101">
        <v>0</v>
      </c>
      <c r="G156" s="69">
        <f>C156*E156</f>
        <v>0</v>
      </c>
    </row>
    <row r="157" spans="1:7">
      <c r="E157" s="104"/>
    </row>
    <row r="158" spans="1:7" ht="60" customHeight="1">
      <c r="A158" s="3" t="s">
        <v>80</v>
      </c>
      <c r="B158" s="2" t="s">
        <v>94</v>
      </c>
      <c r="E158" s="104"/>
    </row>
    <row r="159" spans="1:7">
      <c r="E159" s="104"/>
    </row>
    <row r="160" spans="1:7">
      <c r="B160" s="2" t="s">
        <v>63</v>
      </c>
      <c r="C160" s="1">
        <v>1</v>
      </c>
      <c r="E160" s="101">
        <v>0</v>
      </c>
      <c r="G160" s="69">
        <f>C160*E160</f>
        <v>0</v>
      </c>
    </row>
    <row r="161" spans="1:7">
      <c r="E161" s="104"/>
    </row>
    <row r="162" spans="1:7" ht="45">
      <c r="A162" s="3" t="s">
        <v>82</v>
      </c>
      <c r="B162" s="2" t="s">
        <v>96</v>
      </c>
      <c r="E162" s="104"/>
    </row>
    <row r="163" spans="1:7">
      <c r="E163" s="104"/>
    </row>
    <row r="164" spans="1:7">
      <c r="B164" s="2" t="s">
        <v>97</v>
      </c>
      <c r="C164" s="1">
        <v>13.81</v>
      </c>
      <c r="E164" s="101">
        <v>0</v>
      </c>
      <c r="G164" s="69">
        <f>C164*E164</f>
        <v>0</v>
      </c>
    </row>
    <row r="165" spans="1:7">
      <c r="E165" s="104"/>
    </row>
    <row r="166" spans="1:7" ht="45">
      <c r="A166" s="3" t="s">
        <v>84</v>
      </c>
      <c r="B166" s="2" t="s">
        <v>99</v>
      </c>
      <c r="E166" s="104"/>
    </row>
    <row r="167" spans="1:7">
      <c r="E167" s="104"/>
    </row>
    <row r="168" spans="1:7">
      <c r="B168" s="2" t="s">
        <v>63</v>
      </c>
      <c r="C168" s="1">
        <v>1</v>
      </c>
      <c r="E168" s="101">
        <v>0</v>
      </c>
      <c r="G168" s="69">
        <f>C168*E168</f>
        <v>0</v>
      </c>
    </row>
    <row r="169" spans="1:7">
      <c r="E169" s="102"/>
      <c r="G169" s="72"/>
    </row>
    <row r="170" spans="1:7" ht="15.75" thickBot="1">
      <c r="A170" s="79"/>
      <c r="B170" s="74" t="s">
        <v>100</v>
      </c>
      <c r="C170" s="75"/>
      <c r="D170" s="76"/>
      <c r="E170" s="103"/>
      <c r="F170" s="75" t="s">
        <v>41</v>
      </c>
      <c r="G170" s="75">
        <f>SUM(G88:G169)</f>
        <v>0</v>
      </c>
    </row>
    <row r="171" spans="1:7" ht="15.75" thickTop="1">
      <c r="E171" s="104"/>
    </row>
    <row r="172" spans="1:7">
      <c r="A172" s="5" t="s">
        <v>105</v>
      </c>
      <c r="B172" s="6" t="s">
        <v>106</v>
      </c>
      <c r="E172" s="104"/>
    </row>
    <row r="173" spans="1:7">
      <c r="E173" s="104"/>
    </row>
    <row r="174" spans="1:7" ht="105">
      <c r="A174" s="3" t="s">
        <v>19</v>
      </c>
      <c r="B174" s="22" t="s">
        <v>107</v>
      </c>
      <c r="E174" s="104"/>
    </row>
    <row r="175" spans="1:7" ht="10.5" customHeight="1">
      <c r="E175" s="104"/>
    </row>
    <row r="176" spans="1:7">
      <c r="B176" s="2" t="s">
        <v>63</v>
      </c>
      <c r="C176" s="1">
        <v>1</v>
      </c>
      <c r="E176" s="101">
        <v>0</v>
      </c>
      <c r="G176" s="69">
        <f>C176*E176</f>
        <v>0</v>
      </c>
    </row>
    <row r="177" spans="1:7">
      <c r="E177" s="104"/>
    </row>
    <row r="178" spans="1:7" ht="150">
      <c r="A178" s="3" t="s">
        <v>46</v>
      </c>
      <c r="B178" s="2" t="s">
        <v>316</v>
      </c>
      <c r="E178" s="104"/>
    </row>
    <row r="179" spans="1:7" ht="12" customHeight="1">
      <c r="E179" s="104"/>
    </row>
    <row r="180" spans="1:7">
      <c r="B180" s="2" t="s">
        <v>45</v>
      </c>
      <c r="C180" s="1">
        <f>(40.4*6.3-4*5-6*4.6*3.5)*1.05+0.18</f>
        <v>144.99600000000001</v>
      </c>
      <c r="E180" s="101">
        <v>0</v>
      </c>
      <c r="G180" s="69">
        <f>C180*E180</f>
        <v>0</v>
      </c>
    </row>
    <row r="181" spans="1:7">
      <c r="E181" s="104"/>
    </row>
    <row r="182" spans="1:7" ht="179.25" customHeight="1">
      <c r="A182" s="3" t="s">
        <v>50</v>
      </c>
      <c r="B182" s="2" t="s">
        <v>317</v>
      </c>
      <c r="E182" s="104"/>
    </row>
    <row r="183" spans="1:7" ht="4.5" customHeight="1">
      <c r="E183" s="104"/>
    </row>
    <row r="184" spans="1:7">
      <c r="E184" s="104"/>
    </row>
    <row r="185" spans="1:7">
      <c r="E185" s="104"/>
    </row>
    <row r="186" spans="1:7">
      <c r="E186" s="104"/>
    </row>
    <row r="187" spans="1:7">
      <c r="E187" s="104"/>
    </row>
    <row r="188" spans="1:7">
      <c r="E188" s="104"/>
    </row>
    <row r="189" spans="1:7">
      <c r="E189" s="104"/>
    </row>
    <row r="190" spans="1:7">
      <c r="E190" s="104"/>
    </row>
    <row r="191" spans="1:7">
      <c r="E191" s="104"/>
    </row>
    <row r="192" spans="1:7">
      <c r="E192" s="104"/>
    </row>
    <row r="193" spans="1:7">
      <c r="E193" s="104"/>
    </row>
    <row r="194" spans="1:7">
      <c r="E194" s="104"/>
    </row>
    <row r="195" spans="1:7">
      <c r="E195" s="104"/>
    </row>
    <row r="196" spans="1:7">
      <c r="E196" s="104"/>
    </row>
    <row r="197" spans="1:7">
      <c r="E197" s="104"/>
    </row>
    <row r="198" spans="1:7">
      <c r="E198" s="104"/>
    </row>
    <row r="199" spans="1:7">
      <c r="B199" s="2" t="s">
        <v>45</v>
      </c>
      <c r="C199" s="1">
        <f>C180</f>
        <v>144.99600000000001</v>
      </c>
      <c r="E199" s="101">
        <v>0</v>
      </c>
      <c r="G199" s="69">
        <f>C199*E199</f>
        <v>0</v>
      </c>
    </row>
    <row r="200" spans="1:7">
      <c r="E200" s="104"/>
    </row>
    <row r="201" spans="1:7" ht="60">
      <c r="A201" s="3" t="s">
        <v>52</v>
      </c>
      <c r="B201" s="2" t="s">
        <v>315</v>
      </c>
      <c r="E201" s="104"/>
    </row>
    <row r="202" spans="1:7">
      <c r="E202" s="104"/>
    </row>
    <row r="203" spans="1:7">
      <c r="E203" s="104"/>
    </row>
    <row r="204" spans="1:7">
      <c r="E204" s="104"/>
    </row>
    <row r="205" spans="1:7">
      <c r="E205" s="104"/>
    </row>
    <row r="206" spans="1:7">
      <c r="E206" s="104"/>
    </row>
    <row r="207" spans="1:7">
      <c r="E207" s="104"/>
    </row>
    <row r="208" spans="1:7">
      <c r="E208" s="104"/>
    </row>
    <row r="209" spans="1:7">
      <c r="E209" s="104"/>
    </row>
    <row r="210" spans="1:7">
      <c r="E210" s="104"/>
    </row>
    <row r="211" spans="1:7">
      <c r="E211" s="104"/>
    </row>
    <row r="212" spans="1:7">
      <c r="E212" s="104"/>
    </row>
    <row r="213" spans="1:7">
      <c r="E213" s="104"/>
    </row>
    <row r="214" spans="1:7">
      <c r="E214" s="104"/>
    </row>
    <row r="215" spans="1:7">
      <c r="A215" s="3" t="s">
        <v>114</v>
      </c>
      <c r="B215" s="2" t="s">
        <v>311</v>
      </c>
      <c r="C215" s="1">
        <f>24*2*3</f>
        <v>144</v>
      </c>
      <c r="E215" s="101">
        <v>0</v>
      </c>
      <c r="G215" s="69">
        <f>C215*E215</f>
        <v>0</v>
      </c>
    </row>
    <row r="216" spans="1:7">
      <c r="E216" s="104"/>
    </row>
    <row r="217" spans="1:7">
      <c r="A217" s="3" t="s">
        <v>115</v>
      </c>
      <c r="B217" s="2" t="s">
        <v>312</v>
      </c>
      <c r="C217" s="1">
        <f>24*2*3.14*0.35*1.05-0.39</f>
        <v>54.999599999999994</v>
      </c>
      <c r="E217" s="101">
        <v>0</v>
      </c>
      <c r="G217" s="69">
        <f>C217*E217</f>
        <v>0</v>
      </c>
    </row>
    <row r="218" spans="1:7">
      <c r="E218" s="104"/>
    </row>
    <row r="219" spans="1:7" ht="30">
      <c r="A219" s="3" t="s">
        <v>54</v>
      </c>
      <c r="B219" s="2" t="s">
        <v>314</v>
      </c>
      <c r="E219" s="104"/>
    </row>
    <row r="220" spans="1:7">
      <c r="E220" s="104"/>
    </row>
    <row r="221" spans="1:7">
      <c r="B221" s="2" t="s">
        <v>56</v>
      </c>
      <c r="C221" s="1">
        <f>41.4+17+2*7</f>
        <v>72.400000000000006</v>
      </c>
      <c r="E221" s="101">
        <v>0</v>
      </c>
      <c r="G221" s="69">
        <f>C221*E221</f>
        <v>0</v>
      </c>
    </row>
    <row r="222" spans="1:7">
      <c r="E222" s="104"/>
    </row>
    <row r="223" spans="1:7" ht="45" customHeight="1">
      <c r="A223" s="3" t="s">
        <v>57</v>
      </c>
      <c r="B223" s="2" t="s">
        <v>313</v>
      </c>
      <c r="E223" s="104"/>
    </row>
    <row r="224" spans="1:7" ht="4.5" customHeight="1">
      <c r="E224" s="104"/>
    </row>
    <row r="225" spans="1:7">
      <c r="E225" s="104"/>
    </row>
    <row r="226" spans="1:7">
      <c r="E226" s="104"/>
    </row>
    <row r="227" spans="1:7">
      <c r="E227" s="104"/>
    </row>
    <row r="228" spans="1:7">
      <c r="E228" s="104"/>
    </row>
    <row r="229" spans="1:7">
      <c r="E229" s="104"/>
    </row>
    <row r="230" spans="1:7">
      <c r="E230" s="104"/>
    </row>
    <row r="231" spans="1:7">
      <c r="E231" s="104"/>
    </row>
    <row r="232" spans="1:7">
      <c r="E232" s="104"/>
    </row>
    <row r="233" spans="1:7">
      <c r="E233" s="104"/>
    </row>
    <row r="234" spans="1:7">
      <c r="B234" s="2" t="s">
        <v>59</v>
      </c>
      <c r="C234" s="1">
        <v>1</v>
      </c>
      <c r="E234" s="101">
        <v>0</v>
      </c>
      <c r="G234" s="69">
        <f>C234*E234</f>
        <v>0</v>
      </c>
    </row>
    <row r="235" spans="1:7">
      <c r="E235" s="104"/>
    </row>
    <row r="236" spans="1:7" ht="15.75" thickBot="1">
      <c r="A236" s="79"/>
      <c r="B236" s="74" t="s">
        <v>108</v>
      </c>
      <c r="C236" s="75"/>
      <c r="D236" s="76"/>
      <c r="E236" s="103"/>
      <c r="F236" s="75" t="s">
        <v>41</v>
      </c>
      <c r="G236" s="75">
        <f>SUM(G172:G235)</f>
        <v>0</v>
      </c>
    </row>
    <row r="237" spans="1:7" ht="15.75" thickTop="1">
      <c r="E237" s="104"/>
    </row>
    <row r="238" spans="1:7">
      <c r="A238" s="5" t="s">
        <v>109</v>
      </c>
      <c r="B238" s="6" t="s">
        <v>110</v>
      </c>
      <c r="E238" s="104"/>
    </row>
    <row r="239" spans="1:7">
      <c r="A239" s="5"/>
      <c r="B239" s="6"/>
      <c r="E239" s="104"/>
    </row>
    <row r="240" spans="1:7" ht="105">
      <c r="A240" s="3" t="s">
        <v>111</v>
      </c>
      <c r="B240" s="2" t="s">
        <v>112</v>
      </c>
      <c r="E240" s="104"/>
    </row>
    <row r="241" spans="1:7">
      <c r="A241" s="5"/>
      <c r="B241" s="6"/>
      <c r="E241" s="104"/>
    </row>
    <row r="242" spans="1:7" ht="60">
      <c r="A242" s="3" t="s">
        <v>19</v>
      </c>
      <c r="B242" s="2" t="s">
        <v>113</v>
      </c>
      <c r="E242" s="104"/>
    </row>
    <row r="243" spans="1:7">
      <c r="E243" s="104"/>
    </row>
    <row r="244" spans="1:7">
      <c r="A244" s="3" t="s">
        <v>114</v>
      </c>
      <c r="B244" s="2" t="s">
        <v>318</v>
      </c>
      <c r="C244" s="1">
        <f>40.4+17+1</f>
        <v>58.4</v>
      </c>
      <c r="E244" s="101">
        <v>0</v>
      </c>
      <c r="G244" s="69">
        <f>C244*E244</f>
        <v>0</v>
      </c>
    </row>
    <row r="245" spans="1:7">
      <c r="E245" s="104"/>
    </row>
    <row r="246" spans="1:7">
      <c r="A246" s="3" t="s">
        <v>115</v>
      </c>
      <c r="B246" s="2" t="s">
        <v>221</v>
      </c>
      <c r="C246" s="1">
        <v>0</v>
      </c>
      <c r="E246" s="101">
        <v>0</v>
      </c>
      <c r="G246" s="69">
        <f>C246*E246</f>
        <v>0</v>
      </c>
    </row>
    <row r="247" spans="1:7">
      <c r="E247" s="104"/>
    </row>
    <row r="248" spans="1:7" ht="45" customHeight="1">
      <c r="A248" s="3" t="s">
        <v>46</v>
      </c>
      <c r="B248" s="2" t="s">
        <v>319</v>
      </c>
      <c r="E248" s="104"/>
    </row>
    <row r="249" spans="1:7">
      <c r="E249" s="104"/>
    </row>
    <row r="250" spans="1:7">
      <c r="B250" s="2" t="s">
        <v>56</v>
      </c>
      <c r="C250" s="1">
        <f>2*19</f>
        <v>38</v>
      </c>
      <c r="E250" s="101">
        <v>0</v>
      </c>
      <c r="G250" s="69">
        <f>C250*E250</f>
        <v>0</v>
      </c>
    </row>
    <row r="251" spans="1:7">
      <c r="E251" s="104"/>
    </row>
    <row r="252" spans="1:7">
      <c r="A252" s="3" t="s">
        <v>50</v>
      </c>
      <c r="B252" s="2" t="s">
        <v>117</v>
      </c>
      <c r="E252" s="104"/>
    </row>
    <row r="253" spans="1:7">
      <c r="E253" s="104"/>
    </row>
    <row r="254" spans="1:7">
      <c r="A254" s="3" t="s">
        <v>114</v>
      </c>
      <c r="B254" s="2" t="s">
        <v>118</v>
      </c>
      <c r="C254" s="1">
        <f>(41.4+17)*1.05-0.32</f>
        <v>61</v>
      </c>
      <c r="E254" s="101">
        <v>0</v>
      </c>
      <c r="G254" s="69">
        <f>C254*E254</f>
        <v>0</v>
      </c>
    </row>
    <row r="255" spans="1:7">
      <c r="E255" s="104"/>
    </row>
    <row r="256" spans="1:7">
      <c r="A256" s="3" t="s">
        <v>115</v>
      </c>
      <c r="B256" s="2" t="s">
        <v>222</v>
      </c>
      <c r="C256" s="1">
        <f>C246</f>
        <v>0</v>
      </c>
      <c r="E256" s="101">
        <v>0</v>
      </c>
      <c r="G256" s="69">
        <f>C256*E256</f>
        <v>0</v>
      </c>
    </row>
    <row r="257" spans="1:7">
      <c r="E257" s="104"/>
    </row>
    <row r="258" spans="1:7" ht="45">
      <c r="A258" s="3" t="s">
        <v>54</v>
      </c>
      <c r="B258" s="2" t="s">
        <v>320</v>
      </c>
      <c r="E258" s="104"/>
    </row>
    <row r="259" spans="1:7">
      <c r="E259" s="104"/>
    </row>
    <row r="260" spans="1:7">
      <c r="B260" s="2" t="s">
        <v>56</v>
      </c>
      <c r="C260" s="1">
        <f>41</f>
        <v>41</v>
      </c>
      <c r="E260" s="101">
        <v>0</v>
      </c>
      <c r="G260" s="69">
        <f>C260*E260</f>
        <v>0</v>
      </c>
    </row>
    <row r="261" spans="1:7">
      <c r="E261" s="104"/>
    </row>
    <row r="262" spans="1:7">
      <c r="A262" s="3" t="s">
        <v>57</v>
      </c>
      <c r="B262" s="2" t="s">
        <v>183</v>
      </c>
      <c r="E262" s="104"/>
    </row>
    <row r="263" spans="1:7">
      <c r="E263" s="104"/>
    </row>
    <row r="264" spans="1:7">
      <c r="B264" s="2" t="s">
        <v>59</v>
      </c>
      <c r="C264" s="1">
        <v>2</v>
      </c>
      <c r="E264" s="101">
        <v>0</v>
      </c>
      <c r="G264" s="69">
        <f>C264*E264</f>
        <v>0</v>
      </c>
    </row>
    <row r="265" spans="1:7">
      <c r="E265" s="104"/>
    </row>
    <row r="266" spans="1:7" ht="60">
      <c r="A266" s="3" t="s">
        <v>58</v>
      </c>
      <c r="B266" s="2" t="s">
        <v>123</v>
      </c>
      <c r="E266" s="104"/>
    </row>
    <row r="267" spans="1:7">
      <c r="E267" s="104"/>
    </row>
    <row r="268" spans="1:7">
      <c r="B268" s="2" t="s">
        <v>56</v>
      </c>
      <c r="C268" s="1">
        <f>C254+C256</f>
        <v>61</v>
      </c>
      <c r="E268" s="101">
        <v>0</v>
      </c>
      <c r="G268" s="69">
        <f>C268*E268</f>
        <v>0</v>
      </c>
    </row>
    <row r="269" spans="1:7">
      <c r="E269" s="102"/>
      <c r="G269" s="72"/>
    </row>
    <row r="270" spans="1:7" ht="15.75" thickBot="1">
      <c r="A270" s="79"/>
      <c r="B270" s="74" t="s">
        <v>124</v>
      </c>
      <c r="C270" s="75"/>
      <c r="D270" s="76"/>
      <c r="E270" s="103"/>
      <c r="F270" s="75" t="s">
        <v>41</v>
      </c>
      <c r="G270" s="75">
        <f>SUM(G238:G269)</f>
        <v>0</v>
      </c>
    </row>
    <row r="271" spans="1:7" ht="15.75" thickTop="1">
      <c r="E271" s="104"/>
    </row>
    <row r="272" spans="1:7">
      <c r="A272" s="5" t="s">
        <v>125</v>
      </c>
      <c r="B272" s="6" t="s">
        <v>126</v>
      </c>
      <c r="C272" s="25"/>
      <c r="D272" s="30"/>
      <c r="E272" s="105"/>
      <c r="F272" s="25"/>
      <c r="G272" s="25"/>
    </row>
    <row r="273" spans="1:7">
      <c r="E273" s="104"/>
    </row>
    <row r="274" spans="1:7" ht="45">
      <c r="A274" s="3" t="s">
        <v>19</v>
      </c>
      <c r="B274" s="2" t="s">
        <v>127</v>
      </c>
      <c r="E274" s="104"/>
    </row>
    <row r="275" spans="1:7">
      <c r="E275" s="104"/>
    </row>
    <row r="276" spans="1:7">
      <c r="B276" s="2" t="s">
        <v>59</v>
      </c>
      <c r="C276" s="1">
        <v>1</v>
      </c>
      <c r="E276" s="101">
        <v>0</v>
      </c>
      <c r="G276" s="69">
        <f>C276*E276</f>
        <v>0</v>
      </c>
    </row>
    <row r="277" spans="1:7">
      <c r="E277" s="104"/>
    </row>
    <row r="278" spans="1:7" ht="90">
      <c r="A278" s="3" t="s">
        <v>46</v>
      </c>
      <c r="B278" s="2" t="s">
        <v>321</v>
      </c>
      <c r="E278" s="104"/>
    </row>
    <row r="279" spans="1:7">
      <c r="E279" s="104"/>
    </row>
    <row r="280" spans="1:7">
      <c r="B280" s="2" t="s">
        <v>45</v>
      </c>
      <c r="C280" s="1">
        <f>3*4.6*3.5</f>
        <v>48.3</v>
      </c>
      <c r="E280" s="101">
        <v>0</v>
      </c>
      <c r="G280" s="69">
        <f>C280*E280</f>
        <v>0</v>
      </c>
    </row>
    <row r="281" spans="1:7">
      <c r="E281" s="104"/>
    </row>
    <row r="282" spans="1:7" ht="45" customHeight="1">
      <c r="A282" s="3" t="s">
        <v>50</v>
      </c>
      <c r="B282" s="2" t="s">
        <v>338</v>
      </c>
      <c r="E282" s="104"/>
    </row>
    <row r="283" spans="1:7">
      <c r="E283" s="104"/>
    </row>
    <row r="284" spans="1:7">
      <c r="B284" s="2" t="s">
        <v>59</v>
      </c>
      <c r="C284" s="1">
        <v>10</v>
      </c>
      <c r="E284" s="101">
        <v>0</v>
      </c>
      <c r="G284" s="69">
        <f>C284*E284</f>
        <v>0</v>
      </c>
    </row>
    <row r="285" spans="1:7">
      <c r="E285" s="102"/>
      <c r="G285" s="72"/>
    </row>
    <row r="286" spans="1:7" ht="15.75" thickBot="1">
      <c r="A286" s="79"/>
      <c r="B286" s="74" t="s">
        <v>129</v>
      </c>
      <c r="C286" s="75"/>
      <c r="D286" s="76"/>
      <c r="E286" s="103"/>
      <c r="F286" s="75" t="s">
        <v>41</v>
      </c>
      <c r="G286" s="75">
        <f>SUM(G272:G285)</f>
        <v>0</v>
      </c>
    </row>
    <row r="287" spans="1:7" ht="15.75" thickTop="1">
      <c r="E287" s="104"/>
    </row>
    <row r="288" spans="1:7">
      <c r="A288" s="5" t="s">
        <v>134</v>
      </c>
      <c r="B288" s="6" t="s">
        <v>135</v>
      </c>
      <c r="E288" s="104"/>
    </row>
    <row r="289" spans="1:7">
      <c r="E289" s="104"/>
    </row>
    <row r="290" spans="1:7" ht="60">
      <c r="A290" s="3" t="s">
        <v>111</v>
      </c>
      <c r="B290" s="2" t="s">
        <v>139</v>
      </c>
      <c r="E290" s="104"/>
    </row>
    <row r="291" spans="1:7">
      <c r="E291" s="104"/>
    </row>
    <row r="292" spans="1:7" ht="105">
      <c r="B292" s="2" t="s">
        <v>322</v>
      </c>
      <c r="E292" s="104"/>
    </row>
    <row r="293" spans="1:7">
      <c r="E293" s="104"/>
    </row>
    <row r="294" spans="1:7" ht="180">
      <c r="A294" s="3" t="s">
        <v>19</v>
      </c>
      <c r="B294" s="2" t="s">
        <v>138</v>
      </c>
      <c r="E294" s="104"/>
    </row>
    <row r="295" spans="1:7">
      <c r="E295" s="104"/>
    </row>
    <row r="296" spans="1:7">
      <c r="B296" s="2" t="s">
        <v>59</v>
      </c>
      <c r="C296" s="1">
        <v>1</v>
      </c>
      <c r="E296" s="101">
        <v>0</v>
      </c>
      <c r="G296" s="69">
        <f>C296*E296</f>
        <v>0</v>
      </c>
    </row>
    <row r="297" spans="1:7">
      <c r="E297" s="104"/>
    </row>
    <row r="298" spans="1:7" ht="45">
      <c r="A298" s="3" t="s">
        <v>46</v>
      </c>
      <c r="B298" s="2" t="s">
        <v>142</v>
      </c>
      <c r="E298" s="104"/>
    </row>
    <row r="299" spans="1:7">
      <c r="E299" s="104"/>
    </row>
    <row r="300" spans="1:7">
      <c r="A300" s="3" t="s">
        <v>114</v>
      </c>
      <c r="B300" s="2" t="s">
        <v>323</v>
      </c>
      <c r="C300" s="1">
        <v>0</v>
      </c>
      <c r="E300" s="101">
        <v>0</v>
      </c>
      <c r="G300" s="69">
        <f>C300*E300</f>
        <v>0</v>
      </c>
    </row>
    <row r="301" spans="1:7">
      <c r="E301" s="104"/>
    </row>
    <row r="302" spans="1:7">
      <c r="A302" s="3" t="s">
        <v>115</v>
      </c>
      <c r="B302" s="2" t="s">
        <v>247</v>
      </c>
      <c r="C302" s="1">
        <v>24</v>
      </c>
      <c r="E302" s="101">
        <v>0</v>
      </c>
      <c r="G302" s="69">
        <f>C302*E302</f>
        <v>0</v>
      </c>
    </row>
    <row r="303" spans="1:7">
      <c r="E303" s="104"/>
    </row>
    <row r="304" spans="1:7">
      <c r="A304" s="3" t="s">
        <v>116</v>
      </c>
      <c r="B304" s="2" t="s">
        <v>144</v>
      </c>
      <c r="C304" s="1">
        <v>0</v>
      </c>
      <c r="E304" s="101">
        <v>0</v>
      </c>
      <c r="G304" s="69">
        <f>C304*E304</f>
        <v>0</v>
      </c>
    </row>
    <row r="305" spans="1:7">
      <c r="E305" s="104"/>
    </row>
    <row r="306" spans="1:7">
      <c r="E306" s="104"/>
    </row>
    <row r="307" spans="1:7" ht="45">
      <c r="A307" s="3" t="s">
        <v>50</v>
      </c>
      <c r="B307" s="2" t="s">
        <v>192</v>
      </c>
      <c r="E307" s="104"/>
    </row>
    <row r="308" spans="1:7">
      <c r="E308" s="104"/>
    </row>
    <row r="309" spans="1:7">
      <c r="B309" s="2" t="s">
        <v>59</v>
      </c>
      <c r="C309" s="1">
        <v>10</v>
      </c>
      <c r="E309" s="101">
        <v>0</v>
      </c>
      <c r="G309" s="69">
        <f>C309*E309</f>
        <v>0</v>
      </c>
    </row>
    <row r="310" spans="1:7">
      <c r="E310" s="104"/>
    </row>
    <row r="311" spans="1:7" ht="195" customHeight="1">
      <c r="A311" s="3" t="s">
        <v>52</v>
      </c>
      <c r="B311" s="2" t="s">
        <v>184</v>
      </c>
      <c r="E311" s="104"/>
    </row>
    <row r="312" spans="1:7">
      <c r="E312" s="104"/>
    </row>
    <row r="313" spans="1:7">
      <c r="A313" s="3" t="s">
        <v>114</v>
      </c>
      <c r="B313" s="2" t="s">
        <v>324</v>
      </c>
      <c r="C313" s="1">
        <v>0</v>
      </c>
      <c r="E313" s="101">
        <v>0</v>
      </c>
      <c r="G313" s="69">
        <f>C313*E313</f>
        <v>0</v>
      </c>
    </row>
    <row r="314" spans="1:7">
      <c r="E314" s="104"/>
    </row>
    <row r="315" spans="1:7">
      <c r="A315" s="3" t="s">
        <v>115</v>
      </c>
      <c r="B315" s="2" t="s">
        <v>325</v>
      </c>
      <c r="C315" s="1">
        <v>24</v>
      </c>
      <c r="E315" s="101">
        <v>0</v>
      </c>
      <c r="G315" s="69">
        <f>C315*E315</f>
        <v>0</v>
      </c>
    </row>
    <row r="316" spans="1:7">
      <c r="E316" s="104"/>
    </row>
    <row r="317" spans="1:7">
      <c r="A317" s="3" t="s">
        <v>116</v>
      </c>
      <c r="B317" s="2" t="s">
        <v>326</v>
      </c>
      <c r="C317" s="1">
        <v>0</v>
      </c>
      <c r="E317" s="101">
        <v>0</v>
      </c>
      <c r="G317" s="69">
        <f>C317*E317</f>
        <v>0</v>
      </c>
    </row>
    <row r="318" spans="1:7">
      <c r="E318" s="104"/>
    </row>
    <row r="319" spans="1:7" ht="15.75" thickBot="1">
      <c r="A319" s="79"/>
      <c r="B319" s="81" t="s">
        <v>153</v>
      </c>
      <c r="C319" s="82"/>
      <c r="D319" s="83"/>
      <c r="E319" s="109"/>
      <c r="F319" s="84" t="s">
        <v>41</v>
      </c>
      <c r="G319" s="85">
        <f>SUM(G288:G318)</f>
        <v>0</v>
      </c>
    </row>
    <row r="320" spans="1:7" ht="15.75" thickTop="1">
      <c r="B320" s="20"/>
      <c r="C320" s="31"/>
      <c r="D320" s="26"/>
      <c r="E320" s="106"/>
      <c r="F320" s="33"/>
      <c r="G320" s="32"/>
    </row>
    <row r="321" spans="1:7">
      <c r="A321" s="5" t="s">
        <v>136</v>
      </c>
      <c r="B321" s="6" t="s">
        <v>137</v>
      </c>
      <c r="E321" s="104"/>
    </row>
    <row r="322" spans="1:7">
      <c r="E322" s="104"/>
    </row>
    <row r="323" spans="1:7" ht="135">
      <c r="A323" s="3" t="s">
        <v>111</v>
      </c>
      <c r="B323" s="2" t="s">
        <v>140</v>
      </c>
      <c r="E323" s="104"/>
    </row>
    <row r="324" spans="1:7">
      <c r="E324" s="104"/>
    </row>
    <row r="325" spans="1:7" ht="255">
      <c r="A325" s="3" t="s">
        <v>19</v>
      </c>
      <c r="B325" s="17" t="s">
        <v>173</v>
      </c>
      <c r="E325" s="104"/>
    </row>
    <row r="326" spans="1:7">
      <c r="B326" s="17"/>
      <c r="E326" s="104"/>
    </row>
    <row r="327" spans="1:7">
      <c r="B327" s="17"/>
      <c r="E327" s="104"/>
    </row>
    <row r="328" spans="1:7">
      <c r="A328" s="3" t="s">
        <v>114</v>
      </c>
      <c r="B328" s="17" t="s">
        <v>327</v>
      </c>
      <c r="C328" s="1">
        <v>0</v>
      </c>
      <c r="E328" s="101">
        <v>0</v>
      </c>
      <c r="G328" s="69">
        <f>C328*E328</f>
        <v>0</v>
      </c>
    </row>
    <row r="329" spans="1:7">
      <c r="B329" s="17"/>
      <c r="E329" s="104"/>
    </row>
    <row r="330" spans="1:7">
      <c r="A330" s="3" t="s">
        <v>115</v>
      </c>
      <c r="B330" s="17" t="s">
        <v>248</v>
      </c>
      <c r="C330" s="1">
        <v>24</v>
      </c>
      <c r="E330" s="101">
        <v>0</v>
      </c>
      <c r="G330" s="69">
        <f>C330*E330</f>
        <v>0</v>
      </c>
    </row>
    <row r="331" spans="1:7">
      <c r="B331" s="17"/>
      <c r="E331" s="104"/>
    </row>
    <row r="332" spans="1:7">
      <c r="A332" s="3" t="s">
        <v>116</v>
      </c>
      <c r="B332" s="17" t="s">
        <v>147</v>
      </c>
      <c r="C332" s="1">
        <v>0</v>
      </c>
      <c r="E332" s="101">
        <v>0</v>
      </c>
      <c r="G332" s="69">
        <f>C332*E332</f>
        <v>0</v>
      </c>
    </row>
    <row r="333" spans="1:7">
      <c r="B333" s="17"/>
      <c r="E333" s="104"/>
    </row>
    <row r="334" spans="1:7">
      <c r="A334" s="3" t="s">
        <v>218</v>
      </c>
      <c r="B334" s="17" t="s">
        <v>328</v>
      </c>
      <c r="C334" s="1">
        <v>0</v>
      </c>
      <c r="E334" s="101">
        <v>0</v>
      </c>
      <c r="G334" s="69">
        <f>C334*E334</f>
        <v>0</v>
      </c>
    </row>
    <row r="335" spans="1:7">
      <c r="B335" s="17"/>
      <c r="E335" s="104"/>
    </row>
    <row r="336" spans="1:7" ht="45">
      <c r="A336" s="3" t="s">
        <v>52</v>
      </c>
      <c r="B336" s="17" t="s">
        <v>158</v>
      </c>
      <c r="E336" s="104"/>
    </row>
    <row r="337" spans="1:7">
      <c r="B337" s="17"/>
      <c r="E337" s="104"/>
    </row>
    <row r="338" spans="1:7">
      <c r="B338" s="17" t="s">
        <v>45</v>
      </c>
      <c r="C338" s="1">
        <v>3</v>
      </c>
      <c r="E338" s="101">
        <v>0</v>
      </c>
      <c r="G338" s="69">
        <f>C338*E338</f>
        <v>0</v>
      </c>
    </row>
    <row r="339" spans="1:7">
      <c r="B339" s="17"/>
      <c r="E339" s="104"/>
    </row>
    <row r="340" spans="1:7" ht="15.75" thickBot="1">
      <c r="A340" s="79"/>
      <c r="B340" s="74" t="s">
        <v>160</v>
      </c>
      <c r="C340" s="75"/>
      <c r="D340" s="76"/>
      <c r="E340" s="103"/>
      <c r="F340" s="75" t="s">
        <v>41</v>
      </c>
      <c r="G340" s="75">
        <f>SUM(G321:G339)</f>
        <v>0</v>
      </c>
    </row>
    <row r="341" spans="1:7" ht="15.75" thickTop="1"/>
    <row r="342" spans="1:7">
      <c r="A342" s="5" t="s">
        <v>161</v>
      </c>
      <c r="B342" s="6" t="s">
        <v>162</v>
      </c>
    </row>
    <row r="344" spans="1:7" ht="107.25" customHeight="1">
      <c r="A344" s="3">
        <v>1</v>
      </c>
      <c r="B344" s="2" t="s">
        <v>163</v>
      </c>
      <c r="G344" s="71">
        <f>(G86+G170+G236+G270+G286+G319+G340)*0.1</f>
        <v>0</v>
      </c>
    </row>
    <row r="345" spans="1:7" ht="15" customHeight="1">
      <c r="G345" s="41"/>
    </row>
    <row r="346" spans="1:7" ht="15.75" thickBot="1">
      <c r="A346" s="79"/>
      <c r="B346" s="74" t="s">
        <v>164</v>
      </c>
      <c r="C346" s="75"/>
      <c r="D346" s="76"/>
      <c r="E346" s="75"/>
      <c r="F346" s="75" t="s">
        <v>41</v>
      </c>
      <c r="G346" s="75">
        <f>SUM(G342:G345)</f>
        <v>0</v>
      </c>
    </row>
    <row r="347" spans="1:7" ht="15.75" thickTop="1">
      <c r="A347" s="5"/>
      <c r="B347" s="6"/>
      <c r="C347" s="25"/>
      <c r="D347" s="30"/>
      <c r="E347" s="25"/>
      <c r="F347" s="25"/>
      <c r="G347" s="25"/>
    </row>
    <row r="349" spans="1:7">
      <c r="A349" s="95"/>
      <c r="B349" s="96" t="s">
        <v>165</v>
      </c>
    </row>
    <row r="351" spans="1:7">
      <c r="A351" s="3" t="s">
        <v>17</v>
      </c>
      <c r="B351" s="2" t="s">
        <v>18</v>
      </c>
      <c r="G351" s="1">
        <f>G86</f>
        <v>0</v>
      </c>
    </row>
    <row r="353" spans="1:7">
      <c r="A353" s="3" t="s">
        <v>42</v>
      </c>
      <c r="B353" s="2" t="s">
        <v>43</v>
      </c>
      <c r="G353" s="1">
        <f>G170</f>
        <v>0</v>
      </c>
    </row>
    <row r="355" spans="1:7">
      <c r="A355" s="3" t="s">
        <v>105</v>
      </c>
      <c r="B355" s="2" t="s">
        <v>106</v>
      </c>
      <c r="G355" s="1">
        <f>G236</f>
        <v>0</v>
      </c>
    </row>
    <row r="357" spans="1:7">
      <c r="A357" s="3" t="s">
        <v>109</v>
      </c>
      <c r="B357" s="2" t="s">
        <v>110</v>
      </c>
      <c r="G357" s="1">
        <f>G270</f>
        <v>0</v>
      </c>
    </row>
    <row r="359" spans="1:7">
      <c r="A359" s="3" t="s">
        <v>125</v>
      </c>
      <c r="B359" s="2" t="s">
        <v>126</v>
      </c>
      <c r="G359" s="1">
        <f>G286</f>
        <v>0</v>
      </c>
    </row>
    <row r="361" spans="1:7">
      <c r="A361" s="3" t="s">
        <v>134</v>
      </c>
      <c r="B361" s="2" t="s">
        <v>135</v>
      </c>
      <c r="G361" s="1">
        <f>G319</f>
        <v>0</v>
      </c>
    </row>
    <row r="363" spans="1:7">
      <c r="A363" s="3" t="s">
        <v>136</v>
      </c>
      <c r="B363" s="2" t="s">
        <v>166</v>
      </c>
      <c r="G363" s="1">
        <f>G340</f>
        <v>0</v>
      </c>
    </row>
    <row r="365" spans="1:7">
      <c r="A365" s="3" t="s">
        <v>161</v>
      </c>
      <c r="B365" s="2" t="s">
        <v>167</v>
      </c>
      <c r="G365" s="1">
        <f>G346</f>
        <v>0</v>
      </c>
    </row>
    <row r="366" spans="1:7">
      <c r="C366" s="72"/>
      <c r="D366" s="78"/>
      <c r="E366" s="72"/>
      <c r="F366" s="72"/>
    </row>
    <row r="367" spans="1:7" ht="15.75" thickBot="1">
      <c r="A367" s="73"/>
      <c r="B367" s="74" t="s">
        <v>168</v>
      </c>
      <c r="C367" s="88"/>
      <c r="D367" s="89"/>
      <c r="E367" s="88"/>
      <c r="F367" s="88"/>
      <c r="G367" s="75">
        <f>SUM(G349:G365)</f>
        <v>0</v>
      </c>
    </row>
    <row r="368" spans="1:7" ht="15.75" thickTop="1"/>
  </sheetData>
  <sheetProtection algorithmName="SHA-512" hashValue="kDrW/g3EokVltV5WNqkKsR89Khq6gPl3sxth2a5D5xXDxEt5A7iehdHxSrF08cJ07nigEdoD7/Mrx6oOOwvs8w==" saltValue="EacljIX4Z3q3HoZ41dHd4A==" spinCount="100000" sheet="1" objects="1" scenarios="1" selectLockedCells="1"/>
  <mergeCells count="1">
    <mergeCell ref="A2:G2"/>
  </mergeCells>
  <pageMargins left="0.70866141732283472" right="0.51181102362204722" top="0.74803149606299213" bottom="0.74803149606299213" header="0.31496062992125984" footer="0.31496062992125984"/>
  <pageSetup paperSize="9" scale="90"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3472619-FB03-4DE6-8EC5-151B197CEC8B}">
  <dimension ref="A1"/>
  <sheetViews>
    <sheetView workbookViewId="0">
      <selection activeCell="AA31" sqref="AA31"/>
    </sheetView>
  </sheetViews>
  <sheetFormatPr defaultRowHeight="15"/>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667412-BA04-4148-8F18-92FA539440FA}">
  <sheetPr>
    <tabColor rgb="FFFFFF00"/>
  </sheetPr>
  <dimension ref="B1:I30"/>
  <sheetViews>
    <sheetView showGridLines="0" view="pageBreakPreview" zoomScale="120" zoomScaleNormal="100" zoomScaleSheetLayoutView="120" workbookViewId="0">
      <selection activeCell="E22" sqref="E22"/>
    </sheetView>
  </sheetViews>
  <sheetFormatPr defaultRowHeight="15"/>
  <cols>
    <col min="1" max="1" width="3.42578125" customWidth="1"/>
    <col min="2" max="2" width="4.42578125" customWidth="1"/>
    <col min="3" max="3" width="50.140625" bestFit="1" customWidth="1"/>
    <col min="5" max="5" width="14.28515625" style="65" customWidth="1"/>
    <col min="6" max="6" width="14.140625" customWidth="1"/>
    <col min="7" max="7" width="16.140625" customWidth="1"/>
    <col min="8" max="8" width="10.140625" style="58" customWidth="1"/>
    <col min="9" max="9" width="11.140625" style="59" bestFit="1" customWidth="1"/>
    <col min="10" max="10" width="10" bestFit="1" customWidth="1"/>
  </cols>
  <sheetData>
    <row r="1" spans="2:8" ht="19.5">
      <c r="B1" s="47" t="s">
        <v>342</v>
      </c>
      <c r="C1" s="47"/>
      <c r="D1" s="48"/>
      <c r="E1" s="113" t="s">
        <v>365</v>
      </c>
      <c r="F1" s="48"/>
      <c r="G1" s="48"/>
      <c r="H1" s="57"/>
    </row>
    <row r="2" spans="2:8" ht="18.75">
      <c r="B2" s="47"/>
      <c r="C2" s="47"/>
      <c r="D2" s="48"/>
      <c r="E2" s="64"/>
      <c r="F2" s="48"/>
      <c r="G2" s="48"/>
      <c r="H2" s="57"/>
    </row>
    <row r="3" spans="2:8" ht="18.75">
      <c r="B3" s="47"/>
      <c r="C3" s="47"/>
      <c r="D3" s="48"/>
      <c r="E3" s="64"/>
      <c r="F3" s="48"/>
      <c r="G3" s="48"/>
      <c r="H3" s="57"/>
    </row>
    <row r="4" spans="2:8" ht="18.75">
      <c r="B4" s="47"/>
      <c r="C4" s="47"/>
      <c r="D4" s="48"/>
      <c r="E4" s="64"/>
      <c r="F4" s="48"/>
      <c r="G4" s="48"/>
      <c r="H4" s="57"/>
    </row>
    <row r="5" spans="2:8" ht="18.75">
      <c r="B5" s="47"/>
      <c r="C5" s="47"/>
      <c r="D5" s="48"/>
      <c r="E5" s="64"/>
      <c r="F5" s="48"/>
      <c r="G5" s="48"/>
      <c r="H5" s="57"/>
    </row>
    <row r="6" spans="2:8" ht="18.75">
      <c r="B6" s="47"/>
      <c r="C6" s="47"/>
      <c r="D6" s="48"/>
      <c r="E6" s="64"/>
      <c r="F6" s="48"/>
      <c r="G6" s="48"/>
      <c r="H6" s="57"/>
    </row>
    <row r="7" spans="2:8" ht="18.75">
      <c r="B7" s="47"/>
      <c r="C7" s="47"/>
      <c r="D7" s="48"/>
      <c r="E7" s="64"/>
      <c r="F7" s="48"/>
      <c r="G7" s="48"/>
      <c r="H7" s="57"/>
    </row>
    <row r="8" spans="2:8" ht="18.75">
      <c r="B8" s="47"/>
      <c r="C8" s="47"/>
      <c r="D8" s="48"/>
      <c r="E8" s="64"/>
      <c r="F8" s="48"/>
      <c r="G8" s="48"/>
      <c r="H8" s="57"/>
    </row>
    <row r="9" spans="2:8" ht="18.75">
      <c r="B9" s="47"/>
      <c r="C9" s="47"/>
      <c r="D9" s="48"/>
      <c r="E9" s="64"/>
      <c r="F9" s="48"/>
      <c r="G9" s="48"/>
      <c r="H9" s="57"/>
    </row>
    <row r="10" spans="2:8" ht="18.75">
      <c r="B10" s="47"/>
      <c r="C10" s="47"/>
      <c r="D10" s="48"/>
      <c r="E10" s="64"/>
      <c r="F10" s="48"/>
      <c r="G10" s="48"/>
      <c r="H10" s="57"/>
    </row>
    <row r="11" spans="2:8" ht="18.75">
      <c r="B11" s="47"/>
      <c r="C11" s="47"/>
      <c r="D11" s="48"/>
      <c r="E11" s="64"/>
      <c r="F11" s="48"/>
      <c r="G11" s="48"/>
      <c r="H11" s="57"/>
    </row>
    <row r="12" spans="2:8" ht="18.75">
      <c r="B12" s="47"/>
      <c r="C12" s="47"/>
      <c r="D12" s="48"/>
      <c r="E12" s="64"/>
      <c r="F12" s="48"/>
      <c r="G12" s="48"/>
      <c r="H12" s="57"/>
    </row>
    <row r="13" spans="2:8" ht="18.75">
      <c r="B13" s="47"/>
      <c r="C13" s="47"/>
      <c r="D13" s="48"/>
      <c r="E13" s="64"/>
      <c r="F13" s="48"/>
      <c r="G13" s="48"/>
      <c r="H13" s="57"/>
    </row>
    <row r="14" spans="2:8" ht="18.75">
      <c r="B14" s="47"/>
      <c r="C14" s="47"/>
      <c r="D14" s="48"/>
      <c r="E14" s="64"/>
      <c r="F14" s="48"/>
      <c r="G14" s="48"/>
      <c r="H14" s="57"/>
    </row>
    <row r="15" spans="2:8" ht="18.75">
      <c r="B15" s="47"/>
      <c r="C15" s="47"/>
      <c r="D15" s="48"/>
      <c r="E15" s="64"/>
      <c r="F15" s="48"/>
      <c r="G15" s="48"/>
      <c r="H15" s="57"/>
    </row>
    <row r="16" spans="2:8" ht="18.75">
      <c r="B16" s="47"/>
      <c r="C16" s="47"/>
      <c r="D16" s="48"/>
      <c r="E16" s="64"/>
      <c r="F16" s="48"/>
      <c r="G16" s="48"/>
      <c r="H16" s="57"/>
    </row>
    <row r="17" spans="2:9" ht="18.75">
      <c r="B17" s="47"/>
      <c r="C17" s="47"/>
      <c r="D17" s="48"/>
      <c r="E17" s="64"/>
      <c r="F17" s="48"/>
      <c r="G17" s="48"/>
      <c r="H17" s="57"/>
    </row>
    <row r="18" spans="2:9" ht="18.75">
      <c r="B18" s="47"/>
      <c r="C18" s="47"/>
      <c r="D18" s="48"/>
      <c r="E18" s="64"/>
      <c r="F18" s="48"/>
      <c r="G18" s="48"/>
      <c r="H18" s="57"/>
    </row>
    <row r="19" spans="2:9" ht="18.75">
      <c r="B19" s="47" t="s">
        <v>340</v>
      </c>
    </row>
    <row r="20" spans="2:9">
      <c r="E20" s="65" t="s">
        <v>339</v>
      </c>
    </row>
    <row r="22" spans="2:9">
      <c r="B22" t="s">
        <v>19</v>
      </c>
      <c r="C22" t="str">
        <f>'Poljanski nasip 12-ulična'!A1</f>
        <v>Sanacija fasade Poljanski nasip 12 - ulična fasada</v>
      </c>
      <c r="E22" s="66">
        <f>'Poljanski nasip 12-ulična'!G465</f>
        <v>0</v>
      </c>
    </row>
    <row r="24" spans="2:9">
      <c r="B24" t="s">
        <v>46</v>
      </c>
      <c r="C24" t="str">
        <f>'Poljanski nasip 14-ulična'!A1</f>
        <v>Sanacija fasade Poljanski nasip 14 - ulična fasada</v>
      </c>
      <c r="E24" s="66">
        <f>'Poljanski nasip 14-ulična'!G468</f>
        <v>0</v>
      </c>
    </row>
    <row r="26" spans="2:9">
      <c r="B26" t="s">
        <v>50</v>
      </c>
      <c r="C26" t="str">
        <f>'Gestrinova 5,7,8-ulična '!A1</f>
        <v>Sanacija fasade Gestrinova 5,7 in 8 - ulična (rečna stran)</v>
      </c>
      <c r="E26" s="66">
        <f>'Gestrinova 5,7,8-ulična '!G402</f>
        <v>0</v>
      </c>
    </row>
    <row r="27" spans="2:9">
      <c r="B27" s="61"/>
      <c r="C27" s="61"/>
      <c r="D27" s="61"/>
      <c r="E27" s="66"/>
    </row>
    <row r="29" spans="2:9" s="19" customFormat="1" ht="15.75" thickBot="1">
      <c r="B29" s="67"/>
      <c r="C29" s="67" t="s">
        <v>341</v>
      </c>
      <c r="D29" s="67"/>
      <c r="E29" s="68">
        <f>SUM(E22:E27)</f>
        <v>0</v>
      </c>
      <c r="H29" s="62"/>
      <c r="I29" s="63"/>
    </row>
    <row r="30" spans="2:9" ht="15.75" thickTop="1"/>
  </sheetData>
  <sheetProtection algorithmName="SHA-512" hashValue="/AAAFL4cTviZXLUsxfWs6rB/zk43OucGXo0vhsnRQBXTGYxyA3Xg57AUixJgM5fXPbYxHUMZBpgXXwld61/cVw==" saltValue="gW/e/OgXhtKjc4soXptODQ==" spinCount="100000" sheet="1" objects="1" scenarios="1"/>
  <pageMargins left="0.9055118110236221" right="0.51181102362204722" top="0.6692913385826772" bottom="0.55118110236220474" header="0.31496062992125984" footer="0.31496062992125984"/>
  <pageSetup paperSize="9" scale="90"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51A97F-F2F4-4AA0-85E6-4A44820C2970}">
  <sheetPr>
    <tabColor rgb="FFFFFF00"/>
  </sheetPr>
  <dimension ref="A1:I466"/>
  <sheetViews>
    <sheetView showGridLines="0" view="pageBreakPreview" zoomScaleNormal="100" zoomScaleSheetLayoutView="100" workbookViewId="0">
      <selection activeCell="E100" sqref="E100"/>
    </sheetView>
  </sheetViews>
  <sheetFormatPr defaultRowHeight="15"/>
  <cols>
    <col min="1" max="1" width="6" style="3" customWidth="1"/>
    <col min="2" max="2" width="44" style="2" customWidth="1"/>
    <col min="3" max="3" width="10.85546875" style="1" customWidth="1"/>
    <col min="4" max="4" width="3.140625" style="28" customWidth="1"/>
    <col min="5" max="5" width="11" style="1" customWidth="1"/>
    <col min="6" max="6" width="4.5703125" style="1" customWidth="1"/>
    <col min="7" max="7" width="11.5703125" style="1" customWidth="1"/>
    <col min="8" max="9" width="9.140625" style="28"/>
  </cols>
  <sheetData>
    <row r="1" spans="1:9" s="51" customFormat="1" ht="19.5">
      <c r="A1" s="47" t="s">
        <v>352</v>
      </c>
      <c r="B1" s="47"/>
      <c r="C1" s="48"/>
      <c r="D1" s="49"/>
      <c r="E1" s="48"/>
      <c r="F1" s="48"/>
      <c r="G1" s="114" t="s">
        <v>365</v>
      </c>
      <c r="H1" s="49"/>
      <c r="I1" s="49"/>
    </row>
    <row r="2" spans="1:9" s="13" customFormat="1" ht="15.75" customHeight="1">
      <c r="A2" s="118" t="s">
        <v>366</v>
      </c>
      <c r="B2" s="118"/>
      <c r="C2" s="118"/>
      <c r="D2" s="118"/>
      <c r="E2" s="118"/>
      <c r="F2" s="118"/>
      <c r="G2" s="118"/>
      <c r="H2" s="27"/>
      <c r="I2" s="27"/>
    </row>
    <row r="3" spans="1:9" ht="18.75">
      <c r="A3" s="11"/>
      <c r="B3" s="12"/>
    </row>
    <row r="4" spans="1:9" ht="18.75">
      <c r="A4" s="5" t="s">
        <v>37</v>
      </c>
      <c r="B4" s="12"/>
    </row>
    <row r="5" spans="1:9" ht="18.75">
      <c r="A5" s="5"/>
      <c r="B5" s="12"/>
    </row>
    <row r="19" spans="1:1" ht="4.5" customHeight="1"/>
    <row r="20" spans="1:1">
      <c r="A20" s="3" t="s">
        <v>38</v>
      </c>
    </row>
    <row r="34" spans="1:1" ht="13.5" customHeight="1"/>
    <row r="35" spans="1:1" ht="13.5" customHeight="1"/>
    <row r="36" spans="1:1" ht="20.25" customHeight="1">
      <c r="A36" s="3" t="s">
        <v>39</v>
      </c>
    </row>
    <row r="37" spans="1:1" ht="9" customHeight="1"/>
    <row r="50" spans="1:2" ht="8.25" customHeight="1"/>
    <row r="51" spans="1:2" ht="11.25" customHeight="1"/>
    <row r="52" spans="1:2">
      <c r="A52" s="3" t="s">
        <v>175</v>
      </c>
    </row>
    <row r="54" spans="1:2">
      <c r="A54" s="5" t="s">
        <v>0</v>
      </c>
      <c r="B54" s="6"/>
    </row>
    <row r="55" spans="1:2" ht="13.5" customHeight="1"/>
    <row r="56" spans="1:2" ht="75">
      <c r="A56" s="3" t="s">
        <v>1</v>
      </c>
      <c r="B56" s="2" t="s">
        <v>2</v>
      </c>
    </row>
    <row r="57" spans="1:2" ht="45">
      <c r="A57" s="4" t="s">
        <v>3</v>
      </c>
      <c r="B57" s="2" t="s">
        <v>176</v>
      </c>
    </row>
    <row r="58" spans="1:2" ht="60">
      <c r="A58" s="4" t="s">
        <v>1</v>
      </c>
      <c r="B58" s="2" t="s">
        <v>5</v>
      </c>
    </row>
    <row r="59" spans="1:2" ht="90">
      <c r="A59" s="4" t="s">
        <v>1</v>
      </c>
      <c r="B59" s="2" t="s">
        <v>6</v>
      </c>
    </row>
    <row r="60" spans="1:2" ht="90">
      <c r="A60" s="4" t="s">
        <v>1</v>
      </c>
      <c r="B60" s="2" t="s">
        <v>74</v>
      </c>
    </row>
    <row r="61" spans="1:2" ht="75">
      <c r="A61" s="4" t="s">
        <v>1</v>
      </c>
      <c r="B61" s="2" t="s">
        <v>7</v>
      </c>
    </row>
    <row r="62" spans="1:2" ht="104.25" customHeight="1">
      <c r="A62" s="4" t="s">
        <v>1</v>
      </c>
      <c r="B62" s="2" t="s">
        <v>8</v>
      </c>
    </row>
    <row r="63" spans="1:2" ht="75">
      <c r="A63" s="4" t="s">
        <v>1</v>
      </c>
      <c r="B63" s="2" t="s">
        <v>9</v>
      </c>
    </row>
    <row r="64" spans="1:2" ht="45">
      <c r="A64" s="4" t="s">
        <v>1</v>
      </c>
      <c r="B64" s="2" t="s">
        <v>10</v>
      </c>
    </row>
    <row r="65" spans="1:2" ht="45">
      <c r="A65" s="4" t="s">
        <v>1</v>
      </c>
      <c r="B65" s="2" t="s">
        <v>11</v>
      </c>
    </row>
    <row r="66" spans="1:2" ht="75">
      <c r="A66" s="4" t="s">
        <v>1</v>
      </c>
      <c r="B66" s="2" t="s">
        <v>12</v>
      </c>
    </row>
    <row r="67" spans="1:2" ht="75">
      <c r="A67" s="4" t="s">
        <v>1</v>
      </c>
      <c r="B67" s="2" t="s">
        <v>13</v>
      </c>
    </row>
    <row r="68" spans="1:2" ht="30">
      <c r="A68" s="4" t="s">
        <v>1</v>
      </c>
      <c r="B68" s="2" t="s">
        <v>14</v>
      </c>
    </row>
    <row r="69" spans="1:2" ht="60">
      <c r="A69" s="4" t="s">
        <v>1</v>
      </c>
      <c r="B69" s="2" t="s">
        <v>15</v>
      </c>
    </row>
    <row r="70" spans="1:2" ht="90" customHeight="1">
      <c r="A70" s="4" t="s">
        <v>1</v>
      </c>
      <c r="B70" s="2" t="s">
        <v>16</v>
      </c>
    </row>
    <row r="72" spans="1:2">
      <c r="A72" s="5" t="s">
        <v>17</v>
      </c>
      <c r="B72" s="6" t="s">
        <v>18</v>
      </c>
    </row>
    <row r="73" spans="1:2" ht="13.5" customHeight="1"/>
    <row r="74" spans="1:2" ht="45">
      <c r="A74" s="3" t="s">
        <v>19</v>
      </c>
      <c r="B74" s="7" t="s">
        <v>20</v>
      </c>
    </row>
    <row r="75" spans="1:2" ht="75">
      <c r="B75" s="8" t="s">
        <v>21</v>
      </c>
    </row>
    <row r="76" spans="1:2" ht="105">
      <c r="B76" s="8" t="s">
        <v>22</v>
      </c>
    </row>
    <row r="77" spans="1:2">
      <c r="B77" s="9" t="s">
        <v>23</v>
      </c>
    </row>
    <row r="78" spans="1:2" ht="30">
      <c r="B78" s="9" t="s">
        <v>24</v>
      </c>
    </row>
    <row r="79" spans="1:2" ht="45">
      <c r="B79" s="9" t="s">
        <v>25</v>
      </c>
    </row>
    <row r="80" spans="1:2" ht="60">
      <c r="B80" s="9" t="s">
        <v>32</v>
      </c>
    </row>
    <row r="81" spans="1:7" ht="45">
      <c r="B81" s="9" t="s">
        <v>33</v>
      </c>
    </row>
    <row r="82" spans="1:7" ht="75">
      <c r="B82" s="9" t="s">
        <v>34</v>
      </c>
    </row>
    <row r="83" spans="1:7" ht="30">
      <c r="B83" s="9" t="s">
        <v>26</v>
      </c>
    </row>
    <row r="84" spans="1:7" ht="30">
      <c r="B84" s="9" t="s">
        <v>27</v>
      </c>
    </row>
    <row r="85" spans="1:7" ht="45">
      <c r="B85" s="9" t="s">
        <v>28</v>
      </c>
    </row>
    <row r="86" spans="1:7" ht="60" customHeight="1">
      <c r="B86" s="9" t="s">
        <v>29</v>
      </c>
    </row>
    <row r="87" spans="1:7">
      <c r="B87" s="9" t="s">
        <v>30</v>
      </c>
    </row>
    <row r="88" spans="1:7">
      <c r="B88" s="9" t="s">
        <v>31</v>
      </c>
    </row>
    <row r="89" spans="1:7" ht="4.5" customHeight="1"/>
    <row r="90" spans="1:7" ht="30">
      <c r="B90" s="10" t="s">
        <v>35</v>
      </c>
    </row>
    <row r="91" spans="1:7" ht="12" customHeight="1"/>
    <row r="92" spans="1:7">
      <c r="B92" s="2" t="s">
        <v>36</v>
      </c>
      <c r="C92" s="1">
        <v>1</v>
      </c>
      <c r="E92" s="101">
        <v>0</v>
      </c>
      <c r="G92" s="69">
        <f>C92*E92</f>
        <v>0</v>
      </c>
    </row>
    <row r="93" spans="1:7">
      <c r="B93" s="2" t="s">
        <v>339</v>
      </c>
      <c r="C93" s="1" t="s">
        <v>339</v>
      </c>
      <c r="D93" s="28" t="s">
        <v>339</v>
      </c>
      <c r="E93" s="102" t="s">
        <v>339</v>
      </c>
      <c r="F93" s="1" t="s">
        <v>339</v>
      </c>
      <c r="G93" s="72" t="s">
        <v>339</v>
      </c>
    </row>
    <row r="94" spans="1:7" ht="15.75" thickBot="1">
      <c r="A94" s="73"/>
      <c r="B94" s="74" t="s">
        <v>40</v>
      </c>
      <c r="C94" s="75"/>
      <c r="D94" s="76"/>
      <c r="E94" s="103"/>
      <c r="F94" s="75" t="s">
        <v>41</v>
      </c>
      <c r="G94" s="75">
        <f>SUM(G72:G93)</f>
        <v>0</v>
      </c>
    </row>
    <row r="95" spans="1:7" ht="15.75" thickTop="1">
      <c r="E95" s="104"/>
    </row>
    <row r="96" spans="1:7">
      <c r="A96" s="5" t="s">
        <v>42</v>
      </c>
      <c r="B96" s="6" t="s">
        <v>43</v>
      </c>
      <c r="E96" s="104"/>
    </row>
    <row r="97" spans="1:7">
      <c r="E97" s="104"/>
    </row>
    <row r="98" spans="1:7" ht="45">
      <c r="A98" s="3" t="s">
        <v>19</v>
      </c>
      <c r="B98" s="2" t="s">
        <v>48</v>
      </c>
      <c r="E98" s="104"/>
    </row>
    <row r="99" spans="1:7">
      <c r="E99" s="104"/>
    </row>
    <row r="100" spans="1:7">
      <c r="B100" s="2" t="s">
        <v>45</v>
      </c>
      <c r="C100" s="1">
        <f>(35.7+13.5+23.4)*16.5*1.05-23.4*1.3-0.38-375</f>
        <v>851.99499999999966</v>
      </c>
      <c r="E100" s="101">
        <v>0</v>
      </c>
      <c r="G100" s="69">
        <f>C100*E100</f>
        <v>0</v>
      </c>
    </row>
    <row r="101" spans="1:7">
      <c r="E101" s="104"/>
    </row>
    <row r="102" spans="1:7" ht="30">
      <c r="A102" s="3" t="s">
        <v>46</v>
      </c>
      <c r="B102" s="2" t="s">
        <v>49</v>
      </c>
      <c r="E102" s="104"/>
    </row>
    <row r="103" spans="1:7">
      <c r="E103" s="104"/>
    </row>
    <row r="104" spans="1:7">
      <c r="B104" s="2" t="s">
        <v>36</v>
      </c>
      <c r="C104" s="1">
        <f>3-1</f>
        <v>2</v>
      </c>
      <c r="E104" s="101">
        <v>0</v>
      </c>
      <c r="G104" s="69">
        <f>C104*E104</f>
        <v>0</v>
      </c>
    </row>
    <row r="105" spans="1:7">
      <c r="E105" s="104"/>
    </row>
    <row r="106" spans="1:7" ht="30">
      <c r="A106" s="3" t="s">
        <v>50</v>
      </c>
      <c r="B106" s="2" t="s">
        <v>51</v>
      </c>
      <c r="E106" s="104"/>
    </row>
    <row r="107" spans="1:7">
      <c r="E107" s="104"/>
    </row>
    <row r="108" spans="1:7">
      <c r="B108" s="2" t="s">
        <v>36</v>
      </c>
      <c r="C108" s="1">
        <f>3-1</f>
        <v>2</v>
      </c>
      <c r="E108" s="101">
        <v>0</v>
      </c>
      <c r="G108" s="69">
        <f>C108*E108</f>
        <v>0</v>
      </c>
    </row>
    <row r="109" spans="1:7">
      <c r="E109" s="104"/>
    </row>
    <row r="110" spans="1:7" ht="30">
      <c r="A110" s="3" t="s">
        <v>52</v>
      </c>
      <c r="B110" s="2" t="s">
        <v>53</v>
      </c>
      <c r="E110" s="104"/>
    </row>
    <row r="111" spans="1:7">
      <c r="E111" s="104"/>
    </row>
    <row r="112" spans="1:7">
      <c r="B112" s="2" t="s">
        <v>36</v>
      </c>
      <c r="C112" s="1">
        <f>2-1</f>
        <v>1</v>
      </c>
      <c r="E112" s="101">
        <v>0</v>
      </c>
      <c r="G112" s="69">
        <f>C112*E112</f>
        <v>0</v>
      </c>
    </row>
    <row r="113" spans="1:7">
      <c r="E113" s="104"/>
    </row>
    <row r="114" spans="1:7" ht="15" customHeight="1">
      <c r="A114" s="3" t="s">
        <v>54</v>
      </c>
      <c r="B114" s="2" t="s">
        <v>55</v>
      </c>
      <c r="E114" s="104"/>
    </row>
    <row r="115" spans="1:7" ht="15" customHeight="1">
      <c r="E115" s="104"/>
    </row>
    <row r="116" spans="1:7" ht="15" customHeight="1">
      <c r="B116" s="2" t="s">
        <v>56</v>
      </c>
      <c r="C116" s="1">
        <f>(35.7+13.5+23.4)*1.05+1.77-25</f>
        <v>53</v>
      </c>
      <c r="E116" s="101">
        <v>0</v>
      </c>
      <c r="G116" s="69">
        <f>C116*E116</f>
        <v>0</v>
      </c>
    </row>
    <row r="117" spans="1:7">
      <c r="E117" s="104"/>
    </row>
    <row r="118" spans="1:7" ht="60">
      <c r="A118" s="3" t="s">
        <v>57</v>
      </c>
      <c r="B118" s="10" t="s">
        <v>44</v>
      </c>
      <c r="E118" s="104"/>
    </row>
    <row r="119" spans="1:7">
      <c r="E119" s="104"/>
    </row>
    <row r="120" spans="1:7">
      <c r="B120" s="2" t="s">
        <v>45</v>
      </c>
      <c r="C120" s="1">
        <f>(23*1.7*1.7+12*1.1*1.7+6*1.7*1.7+8*1.7*1.7+1.7*1.7*15+1.1*1.7*16)*1.05+0.23-77</f>
        <v>136.00199999999998</v>
      </c>
      <c r="E120" s="101">
        <v>0</v>
      </c>
      <c r="G120" s="69">
        <f>C120*E120</f>
        <v>0</v>
      </c>
    </row>
    <row r="121" spans="1:7">
      <c r="E121" s="104"/>
    </row>
    <row r="122" spans="1:7" ht="45">
      <c r="A122" s="3" t="s">
        <v>58</v>
      </c>
      <c r="B122" s="2" t="s">
        <v>60</v>
      </c>
      <c r="E122" s="104"/>
    </row>
    <row r="123" spans="1:7">
      <c r="E123" s="104"/>
    </row>
    <row r="124" spans="1:7">
      <c r="B124" s="2" t="s">
        <v>59</v>
      </c>
      <c r="C124" s="1">
        <v>1</v>
      </c>
      <c r="E124" s="101">
        <v>0</v>
      </c>
      <c r="G124" s="69">
        <f>C124*E124</f>
        <v>0</v>
      </c>
    </row>
    <row r="125" spans="1:7">
      <c r="E125" s="104"/>
    </row>
    <row r="126" spans="1:7" ht="30">
      <c r="A126" s="3" t="s">
        <v>61</v>
      </c>
      <c r="B126" s="2" t="s">
        <v>62</v>
      </c>
      <c r="E126" s="104"/>
    </row>
    <row r="127" spans="1:7">
      <c r="E127" s="104"/>
    </row>
    <row r="128" spans="1:7">
      <c r="B128" s="2" t="s">
        <v>63</v>
      </c>
      <c r="C128" s="1">
        <v>1</v>
      </c>
      <c r="E128" s="101">
        <v>0</v>
      </c>
      <c r="G128" s="69">
        <f>C128*E128</f>
        <v>0</v>
      </c>
    </row>
    <row r="129" spans="1:7">
      <c r="E129" s="104"/>
    </row>
    <row r="130" spans="1:7" ht="89.25" customHeight="1">
      <c r="A130" s="3" t="s">
        <v>64</v>
      </c>
      <c r="B130" s="17" t="s">
        <v>65</v>
      </c>
      <c r="E130" s="104"/>
    </row>
    <row r="131" spans="1:7">
      <c r="E131" s="104"/>
    </row>
    <row r="132" spans="1:7">
      <c r="B132" s="2" t="s">
        <v>56</v>
      </c>
      <c r="C132" s="1">
        <f>(34.7+12.5+23.4)*1.05+0.87-25</f>
        <v>50</v>
      </c>
      <c r="E132" s="101">
        <v>0</v>
      </c>
      <c r="G132" s="69">
        <f>C132*E132</f>
        <v>0</v>
      </c>
    </row>
    <row r="133" spans="1:7" ht="75">
      <c r="A133" s="3" t="s">
        <v>66</v>
      </c>
      <c r="B133" s="2" t="s">
        <v>67</v>
      </c>
      <c r="E133" s="104"/>
    </row>
    <row r="134" spans="1:7">
      <c r="E134" s="104"/>
    </row>
    <row r="135" spans="1:7">
      <c r="B135" s="2" t="s">
        <v>59</v>
      </c>
      <c r="C135" s="1">
        <f>(((34.7+23.4)/0.8)*4)*1.05-5.03-123</f>
        <v>176.99500000000006</v>
      </c>
      <c r="E135" s="101">
        <v>0</v>
      </c>
      <c r="G135" s="69">
        <f>C135*E135</f>
        <v>0</v>
      </c>
    </row>
    <row r="136" spans="1:7">
      <c r="E136" s="104"/>
    </row>
    <row r="137" spans="1:7" ht="30" customHeight="1">
      <c r="A137" s="3" t="s">
        <v>68</v>
      </c>
      <c r="B137" s="2" t="s">
        <v>47</v>
      </c>
      <c r="E137" s="104"/>
    </row>
    <row r="138" spans="1:7">
      <c r="E138" s="104"/>
    </row>
    <row r="139" spans="1:7">
      <c r="B139" s="2" t="s">
        <v>45</v>
      </c>
      <c r="C139" s="1">
        <f>((34.7+12.5)*16.5+23.4*15.2+18)*1.05-392-0.1</f>
        <v>818.00400000000002</v>
      </c>
      <c r="E139" s="101">
        <v>0</v>
      </c>
      <c r="G139" s="69">
        <f>C139*E139</f>
        <v>0</v>
      </c>
    </row>
    <row r="140" spans="1:7">
      <c r="E140" s="104"/>
    </row>
    <row r="141" spans="1:7" ht="105">
      <c r="A141" s="3" t="s">
        <v>69</v>
      </c>
      <c r="B141" s="2" t="s">
        <v>72</v>
      </c>
      <c r="E141" s="104"/>
    </row>
    <row r="142" spans="1:7">
      <c r="E142" s="104"/>
    </row>
    <row r="143" spans="1:7">
      <c r="B143" s="2" t="s">
        <v>45</v>
      </c>
      <c r="C143" s="1">
        <f>C139*0.6+0.2</f>
        <v>491.00239999999997</v>
      </c>
      <c r="E143" s="101">
        <v>0</v>
      </c>
      <c r="G143" s="69">
        <f>C143*E143</f>
        <v>0</v>
      </c>
    </row>
    <row r="144" spans="1:7">
      <c r="E144" s="104"/>
    </row>
    <row r="145" spans="1:7" ht="105" customHeight="1">
      <c r="A145" s="3" t="s">
        <v>70</v>
      </c>
      <c r="B145" s="2" t="s">
        <v>71</v>
      </c>
      <c r="E145" s="104"/>
    </row>
    <row r="146" spans="1:7">
      <c r="E146" s="104"/>
    </row>
    <row r="147" spans="1:7">
      <c r="B147" s="2" t="s">
        <v>45</v>
      </c>
      <c r="C147" s="1">
        <f>C139</f>
        <v>818.00400000000002</v>
      </c>
      <c r="E147" s="101">
        <v>0</v>
      </c>
      <c r="G147" s="69">
        <f>C147*E147</f>
        <v>0</v>
      </c>
    </row>
    <row r="148" spans="1:7">
      <c r="E148" s="104"/>
    </row>
    <row r="149" spans="1:7" ht="75">
      <c r="A149" s="3" t="s">
        <v>73</v>
      </c>
      <c r="B149" s="2" t="s">
        <v>75</v>
      </c>
      <c r="E149" s="104"/>
    </row>
    <row r="150" spans="1:7">
      <c r="E150" s="104"/>
    </row>
    <row r="151" spans="1:7">
      <c r="B151" s="2" t="s">
        <v>45</v>
      </c>
      <c r="C151" s="1">
        <f>C143</f>
        <v>491.00239999999997</v>
      </c>
      <c r="E151" s="101">
        <v>0</v>
      </c>
      <c r="G151" s="69">
        <f>C151*E151</f>
        <v>0</v>
      </c>
    </row>
    <row r="152" spans="1:7">
      <c r="E152" s="104"/>
    </row>
    <row r="153" spans="1:7" ht="60">
      <c r="A153" s="3" t="s">
        <v>76</v>
      </c>
      <c r="B153" s="2" t="s">
        <v>83</v>
      </c>
      <c r="E153" s="104"/>
    </row>
    <row r="154" spans="1:7">
      <c r="E154" s="104"/>
    </row>
    <row r="155" spans="1:7">
      <c r="B155" s="2" t="s">
        <v>45</v>
      </c>
      <c r="C155" s="1">
        <f>C147</f>
        <v>818.00400000000002</v>
      </c>
      <c r="E155" s="101">
        <v>0</v>
      </c>
      <c r="G155" s="69">
        <f>C155*E155</f>
        <v>0</v>
      </c>
    </row>
    <row r="156" spans="1:7">
      <c r="E156" s="104"/>
    </row>
    <row r="157" spans="1:7" ht="45">
      <c r="A157" s="3" t="s">
        <v>77</v>
      </c>
      <c r="B157" s="2" t="s">
        <v>90</v>
      </c>
      <c r="E157" s="104"/>
    </row>
    <row r="158" spans="1:7">
      <c r="E158" s="104"/>
    </row>
    <row r="159" spans="1:7">
      <c r="B159" s="2" t="s">
        <v>45</v>
      </c>
      <c r="C159" s="1">
        <f>C147</f>
        <v>818.00400000000002</v>
      </c>
      <c r="E159" s="101">
        <v>0</v>
      </c>
      <c r="G159" s="69">
        <f>C159*E159</f>
        <v>0</v>
      </c>
    </row>
    <row r="160" spans="1:7">
      <c r="E160" s="104"/>
    </row>
    <row r="161" spans="1:7" ht="45">
      <c r="A161" s="3" t="s">
        <v>78</v>
      </c>
      <c r="B161" s="2" t="s">
        <v>89</v>
      </c>
      <c r="E161" s="104"/>
    </row>
    <row r="162" spans="1:7">
      <c r="E162" s="104"/>
    </row>
    <row r="163" spans="1:7">
      <c r="B163" s="2" t="s">
        <v>45</v>
      </c>
      <c r="C163" s="1">
        <f>75-25</f>
        <v>50</v>
      </c>
      <c r="E163" s="101">
        <v>0</v>
      </c>
      <c r="G163" s="69">
        <f>C163*E163</f>
        <v>0</v>
      </c>
    </row>
    <row r="164" spans="1:7">
      <c r="E164" s="104"/>
    </row>
    <row r="165" spans="1:7" ht="75">
      <c r="A165" s="3" t="s">
        <v>80</v>
      </c>
      <c r="B165" s="2" t="s">
        <v>81</v>
      </c>
      <c r="E165" s="104"/>
    </row>
    <row r="166" spans="1:7">
      <c r="E166" s="104"/>
    </row>
    <row r="167" spans="1:7">
      <c r="E167" s="104"/>
    </row>
    <row r="168" spans="1:7">
      <c r="E168" s="104"/>
    </row>
    <row r="169" spans="1:7">
      <c r="E169" s="104"/>
    </row>
    <row r="170" spans="1:7">
      <c r="E170" s="104"/>
    </row>
    <row r="171" spans="1:7">
      <c r="E171" s="104"/>
    </row>
    <row r="172" spans="1:7">
      <c r="E172" s="104"/>
    </row>
    <row r="173" spans="1:7">
      <c r="E173" s="104"/>
    </row>
    <row r="174" spans="1:7">
      <c r="E174" s="104"/>
    </row>
    <row r="175" spans="1:7">
      <c r="E175" s="104"/>
    </row>
    <row r="176" spans="1:7">
      <c r="E176" s="104"/>
    </row>
    <row r="177" spans="1:7">
      <c r="E177" s="104"/>
    </row>
    <row r="178" spans="1:7">
      <c r="E178" s="104"/>
    </row>
    <row r="179" spans="1:7">
      <c r="E179" s="104"/>
    </row>
    <row r="180" spans="1:7">
      <c r="B180" s="2" t="s">
        <v>56</v>
      </c>
      <c r="C180" s="1">
        <f>(34.7+12.5+23.4)*5-117</f>
        <v>236</v>
      </c>
      <c r="E180" s="101">
        <v>0</v>
      </c>
      <c r="G180" s="69">
        <f>C180*E180</f>
        <v>0</v>
      </c>
    </row>
    <row r="181" spans="1:7">
      <c r="E181" s="104"/>
    </row>
    <row r="182" spans="1:7" ht="45" customHeight="1">
      <c r="A182" s="3" t="s">
        <v>82</v>
      </c>
      <c r="B182" s="2" t="s">
        <v>79</v>
      </c>
      <c r="E182" s="104"/>
    </row>
    <row r="183" spans="1:7">
      <c r="E183" s="104"/>
    </row>
    <row r="184" spans="1:7">
      <c r="E184" s="104"/>
    </row>
    <row r="185" spans="1:7">
      <c r="E185" s="104"/>
    </row>
    <row r="186" spans="1:7">
      <c r="E186" s="104"/>
    </row>
    <row r="187" spans="1:7">
      <c r="E187" s="104"/>
    </row>
    <row r="188" spans="1:7">
      <c r="E188" s="104"/>
    </row>
    <row r="189" spans="1:7">
      <c r="E189" s="104"/>
    </row>
    <row r="190" spans="1:7">
      <c r="E190" s="104"/>
    </row>
    <row r="191" spans="1:7">
      <c r="E191" s="104"/>
    </row>
    <row r="192" spans="1:7">
      <c r="E192" s="104"/>
    </row>
    <row r="193" spans="1:7">
      <c r="E193" s="104"/>
    </row>
    <row r="194" spans="1:7">
      <c r="E194" s="104"/>
    </row>
    <row r="195" spans="1:7">
      <c r="E195" s="104"/>
    </row>
    <row r="196" spans="1:7">
      <c r="E196" s="104"/>
    </row>
    <row r="197" spans="1:7">
      <c r="E197" s="104"/>
    </row>
    <row r="198" spans="1:7" ht="5.25" customHeight="1">
      <c r="E198" s="104"/>
    </row>
    <row r="199" spans="1:7">
      <c r="B199" s="2" t="s">
        <v>56</v>
      </c>
      <c r="C199" s="1">
        <f>C163</f>
        <v>50</v>
      </c>
      <c r="E199" s="101">
        <v>0</v>
      </c>
      <c r="G199" s="69">
        <f>C199*E199</f>
        <v>0</v>
      </c>
    </row>
    <row r="200" spans="1:7">
      <c r="E200" s="104"/>
    </row>
    <row r="201" spans="1:7" ht="45">
      <c r="A201" s="3" t="s">
        <v>84</v>
      </c>
      <c r="B201" s="2" t="s">
        <v>101</v>
      </c>
      <c r="E201" s="104"/>
    </row>
    <row r="202" spans="1:7">
      <c r="E202" s="104"/>
    </row>
    <row r="203" spans="1:7">
      <c r="E203" s="104"/>
    </row>
    <row r="204" spans="1:7">
      <c r="E204" s="104"/>
    </row>
    <row r="205" spans="1:7">
      <c r="E205" s="104"/>
    </row>
    <row r="206" spans="1:7">
      <c r="E206" s="104"/>
    </row>
    <row r="207" spans="1:7">
      <c r="E207" s="104"/>
    </row>
    <row r="208" spans="1:7">
      <c r="E208" s="104"/>
    </row>
    <row r="209" spans="1:7">
      <c r="E209" s="104"/>
    </row>
    <row r="210" spans="1:7">
      <c r="E210" s="104"/>
    </row>
    <row r="211" spans="1:7">
      <c r="E211" s="104"/>
    </row>
    <row r="212" spans="1:7">
      <c r="E212" s="104"/>
    </row>
    <row r="213" spans="1:7">
      <c r="E213" s="104"/>
    </row>
    <row r="214" spans="1:7">
      <c r="E214" s="104"/>
    </row>
    <row r="215" spans="1:7">
      <c r="E215" s="104"/>
    </row>
    <row r="216" spans="1:7" ht="9.75" customHeight="1">
      <c r="E216" s="104"/>
    </row>
    <row r="217" spans="1:7">
      <c r="B217" s="2" t="s">
        <v>56</v>
      </c>
      <c r="C217" s="1">
        <f>C199</f>
        <v>50</v>
      </c>
      <c r="E217" s="101">
        <v>0</v>
      </c>
      <c r="G217" s="69">
        <f>C217*E217</f>
        <v>0</v>
      </c>
    </row>
    <row r="218" spans="1:7">
      <c r="E218" s="104"/>
    </row>
    <row r="219" spans="1:7" ht="60" customHeight="1">
      <c r="A219" s="3" t="s">
        <v>85</v>
      </c>
      <c r="B219" s="2" t="s">
        <v>87</v>
      </c>
      <c r="E219" s="104"/>
    </row>
    <row r="220" spans="1:7">
      <c r="E220" s="104"/>
    </row>
    <row r="221" spans="1:7">
      <c r="E221" s="104"/>
    </row>
    <row r="222" spans="1:7">
      <c r="E222" s="104"/>
    </row>
    <row r="223" spans="1:7">
      <c r="E223" s="104"/>
    </row>
    <row r="224" spans="1:7">
      <c r="E224" s="104"/>
    </row>
    <row r="225" spans="1:7">
      <c r="E225" s="104"/>
    </row>
    <row r="226" spans="1:7">
      <c r="E226" s="104"/>
    </row>
    <row r="227" spans="1:7">
      <c r="E227" s="104"/>
    </row>
    <row r="228" spans="1:7">
      <c r="E228" s="104"/>
    </row>
    <row r="229" spans="1:7">
      <c r="E229" s="104"/>
    </row>
    <row r="230" spans="1:7">
      <c r="E230" s="104"/>
    </row>
    <row r="231" spans="1:7">
      <c r="E231" s="104"/>
    </row>
    <row r="232" spans="1:7">
      <c r="B232" s="2" t="s">
        <v>56</v>
      </c>
      <c r="C232" s="1">
        <f>23*1.9+8*1.9+12*2.2+6*2*2.5+9*1.9+18*1.3-51+0.2</f>
        <v>105.00000000000001</v>
      </c>
      <c r="E232" s="101">
        <v>0</v>
      </c>
      <c r="G232" s="69">
        <f>C232*E232</f>
        <v>0</v>
      </c>
    </row>
    <row r="233" spans="1:7">
      <c r="E233" s="104"/>
    </row>
    <row r="234" spans="1:7" ht="45">
      <c r="A234" s="3" t="s">
        <v>86</v>
      </c>
      <c r="B234" s="2" t="s">
        <v>182</v>
      </c>
      <c r="E234" s="104"/>
    </row>
    <row r="235" spans="1:7">
      <c r="E235" s="104"/>
    </row>
    <row r="236" spans="1:7">
      <c r="E236" s="104"/>
    </row>
    <row r="237" spans="1:7">
      <c r="E237" s="104"/>
    </row>
    <row r="238" spans="1:7">
      <c r="E238" s="104"/>
    </row>
    <row r="239" spans="1:7">
      <c r="E239" s="104"/>
    </row>
    <row r="240" spans="1:7">
      <c r="E240" s="104"/>
    </row>
    <row r="241" spans="1:7">
      <c r="E241" s="104"/>
    </row>
    <row r="242" spans="1:7">
      <c r="E242" s="104"/>
    </row>
    <row r="243" spans="1:7">
      <c r="E243" s="104"/>
    </row>
    <row r="244" spans="1:7">
      <c r="E244" s="104"/>
    </row>
    <row r="245" spans="1:7">
      <c r="E245" s="104"/>
    </row>
    <row r="246" spans="1:7" ht="7.5" customHeight="1">
      <c r="E246" s="104"/>
    </row>
    <row r="247" spans="1:7">
      <c r="B247" s="2" t="s">
        <v>45</v>
      </c>
      <c r="C247" s="1">
        <f>2*1.7*3.14*0.3+0.8</f>
        <v>4.0027999999999997</v>
      </c>
      <c r="E247" s="101">
        <v>0</v>
      </c>
      <c r="G247" s="69">
        <f>C247*E247</f>
        <v>0</v>
      </c>
    </row>
    <row r="248" spans="1:7">
      <c r="E248" s="104"/>
    </row>
    <row r="249" spans="1:7" ht="45">
      <c r="A249" s="3" t="s">
        <v>91</v>
      </c>
      <c r="B249" s="2" t="s">
        <v>88</v>
      </c>
      <c r="E249" s="104"/>
    </row>
    <row r="250" spans="1:7">
      <c r="E250" s="104"/>
    </row>
    <row r="251" spans="1:7">
      <c r="B251" s="2" t="s">
        <v>56</v>
      </c>
      <c r="C251" s="1">
        <f>C180+C199</f>
        <v>286</v>
      </c>
      <c r="E251" s="101">
        <v>0</v>
      </c>
      <c r="G251" s="69">
        <f>C251*E251</f>
        <v>0</v>
      </c>
    </row>
    <row r="252" spans="1:7">
      <c r="E252" s="104"/>
    </row>
    <row r="253" spans="1:7" ht="30">
      <c r="A253" s="3" t="s">
        <v>92</v>
      </c>
      <c r="B253" s="2" t="s">
        <v>102</v>
      </c>
      <c r="E253" s="104"/>
    </row>
    <row r="254" spans="1:7">
      <c r="E254" s="104"/>
    </row>
    <row r="255" spans="1:7">
      <c r="B255" s="2" t="s">
        <v>56</v>
      </c>
      <c r="C255" s="1">
        <f>C217</f>
        <v>50</v>
      </c>
      <c r="E255" s="101">
        <v>0</v>
      </c>
      <c r="G255" s="69">
        <f>C255*E255</f>
        <v>0</v>
      </c>
    </row>
    <row r="256" spans="1:7">
      <c r="E256" s="104"/>
    </row>
    <row r="257" spans="1:7">
      <c r="A257" s="3" t="s">
        <v>93</v>
      </c>
      <c r="B257" s="2" t="s">
        <v>103</v>
      </c>
      <c r="E257" s="104"/>
    </row>
    <row r="258" spans="1:7">
      <c r="E258" s="104"/>
    </row>
    <row r="259" spans="1:7">
      <c r="B259" s="2" t="s">
        <v>56</v>
      </c>
      <c r="C259" s="1">
        <f>C232</f>
        <v>105.00000000000001</v>
      </c>
      <c r="E259" s="101">
        <v>0</v>
      </c>
      <c r="G259" s="69">
        <f>C259*E259</f>
        <v>0</v>
      </c>
    </row>
    <row r="260" spans="1:7">
      <c r="E260" s="104"/>
    </row>
    <row r="261" spans="1:7" ht="60" customHeight="1">
      <c r="A261" s="3" t="s">
        <v>95</v>
      </c>
      <c r="B261" s="2" t="s">
        <v>94</v>
      </c>
      <c r="E261" s="104"/>
    </row>
    <row r="262" spans="1:7">
      <c r="E262" s="104"/>
    </row>
    <row r="263" spans="1:7">
      <c r="B263" s="2" t="s">
        <v>63</v>
      </c>
      <c r="C263" s="1">
        <v>1</v>
      </c>
      <c r="E263" s="101">
        <v>0</v>
      </c>
      <c r="G263" s="69">
        <f>C263*E263</f>
        <v>0</v>
      </c>
    </row>
    <row r="264" spans="1:7">
      <c r="E264" s="104"/>
    </row>
    <row r="265" spans="1:7" ht="45">
      <c r="A265" s="3" t="s">
        <v>98</v>
      </c>
      <c r="B265" s="2" t="s">
        <v>96</v>
      </c>
      <c r="E265" s="104"/>
    </row>
    <row r="266" spans="1:7">
      <c r="E266" s="104"/>
    </row>
    <row r="267" spans="1:7">
      <c r="B267" s="2" t="s">
        <v>97</v>
      </c>
      <c r="C267" s="1">
        <f>C139*0.01*1.25+C151*0.03*1.25</f>
        <v>28.637639999999998</v>
      </c>
      <c r="E267" s="101">
        <v>0</v>
      </c>
      <c r="G267" s="69">
        <f>C267*E267</f>
        <v>0</v>
      </c>
    </row>
    <row r="268" spans="1:7">
      <c r="E268" s="104"/>
    </row>
    <row r="269" spans="1:7" ht="45">
      <c r="A269" s="3" t="s">
        <v>104</v>
      </c>
      <c r="B269" s="2" t="s">
        <v>99</v>
      </c>
      <c r="E269" s="104"/>
    </row>
    <row r="270" spans="1:7">
      <c r="E270" s="104"/>
    </row>
    <row r="271" spans="1:7">
      <c r="A271" s="60"/>
      <c r="B271" s="77" t="s">
        <v>63</v>
      </c>
      <c r="C271" s="72">
        <v>1</v>
      </c>
      <c r="D271" s="78"/>
      <c r="E271" s="102">
        <v>0</v>
      </c>
      <c r="F271" s="72"/>
      <c r="G271" s="72">
        <f>C271*E271</f>
        <v>0</v>
      </c>
    </row>
    <row r="272" spans="1:7">
      <c r="B272" s="2" t="s">
        <v>339</v>
      </c>
      <c r="C272" s="1" t="s">
        <v>339</v>
      </c>
      <c r="D272" s="28" t="s">
        <v>339</v>
      </c>
      <c r="E272" s="102" t="s">
        <v>339</v>
      </c>
      <c r="F272" s="1" t="s">
        <v>339</v>
      </c>
      <c r="G272" s="72" t="s">
        <v>339</v>
      </c>
    </row>
    <row r="273" spans="1:9" s="19" customFormat="1" ht="15.75" thickBot="1">
      <c r="A273" s="79"/>
      <c r="B273" s="74" t="s">
        <v>100</v>
      </c>
      <c r="C273" s="75"/>
      <c r="D273" s="76"/>
      <c r="E273" s="103"/>
      <c r="F273" s="75" t="s">
        <v>41</v>
      </c>
      <c r="G273" s="75">
        <f>SUM(G96:G272)</f>
        <v>0</v>
      </c>
      <c r="H273" s="30"/>
      <c r="I273" s="30"/>
    </row>
    <row r="274" spans="1:9" ht="15.75" thickTop="1">
      <c r="E274" s="104"/>
    </row>
    <row r="275" spans="1:9">
      <c r="A275" s="5" t="s">
        <v>105</v>
      </c>
      <c r="B275" s="6" t="s">
        <v>106</v>
      </c>
      <c r="E275" s="104"/>
    </row>
    <row r="276" spans="1:9">
      <c r="E276" s="104"/>
    </row>
    <row r="277" spans="1:9" ht="105">
      <c r="A277" s="3" t="s">
        <v>19</v>
      </c>
      <c r="B277" s="22" t="s">
        <v>107</v>
      </c>
      <c r="E277" s="104"/>
    </row>
    <row r="278" spans="1:9">
      <c r="B278" s="2" t="s">
        <v>63</v>
      </c>
      <c r="C278" s="1">
        <v>1</v>
      </c>
      <c r="E278" s="101">
        <v>0</v>
      </c>
      <c r="G278" s="69">
        <f>C278*E278</f>
        <v>0</v>
      </c>
    </row>
    <row r="279" spans="1:9">
      <c r="B279" s="2" t="s">
        <v>339</v>
      </c>
      <c r="C279" s="1" t="s">
        <v>339</v>
      </c>
      <c r="E279" s="102" t="s">
        <v>339</v>
      </c>
      <c r="G279" s="72" t="s">
        <v>339</v>
      </c>
    </row>
    <row r="280" spans="1:9" s="19" customFormat="1" ht="15.75" thickBot="1">
      <c r="A280" s="79"/>
      <c r="B280" s="74" t="s">
        <v>108</v>
      </c>
      <c r="C280" s="75"/>
      <c r="D280" s="76"/>
      <c r="E280" s="103"/>
      <c r="F280" s="75" t="s">
        <v>41</v>
      </c>
      <c r="G280" s="75">
        <f>SUM(G275:G279)</f>
        <v>0</v>
      </c>
      <c r="H280" s="30"/>
      <c r="I280" s="30"/>
    </row>
    <row r="281" spans="1:9" ht="15.75" thickTop="1">
      <c r="E281" s="104"/>
    </row>
    <row r="282" spans="1:9">
      <c r="A282" s="5" t="s">
        <v>109</v>
      </c>
      <c r="B282" s="6" t="s">
        <v>110</v>
      </c>
      <c r="E282" s="104"/>
    </row>
    <row r="283" spans="1:9">
      <c r="A283" s="5"/>
      <c r="B283" s="6"/>
      <c r="E283" s="104"/>
    </row>
    <row r="284" spans="1:9" ht="105">
      <c r="A284" s="80" t="s">
        <v>111</v>
      </c>
      <c r="B284" s="24" t="s">
        <v>349</v>
      </c>
      <c r="E284" s="104"/>
    </row>
    <row r="285" spans="1:9">
      <c r="A285" s="5"/>
      <c r="B285" s="6"/>
      <c r="E285" s="104"/>
    </row>
    <row r="286" spans="1:9" ht="60">
      <c r="A286" s="3" t="s">
        <v>19</v>
      </c>
      <c r="B286" s="2" t="s">
        <v>113</v>
      </c>
      <c r="E286" s="104"/>
    </row>
    <row r="287" spans="1:9">
      <c r="E287" s="104"/>
    </row>
    <row r="288" spans="1:9">
      <c r="A288" s="3" t="s">
        <v>114</v>
      </c>
      <c r="B288" s="2" t="s">
        <v>118</v>
      </c>
      <c r="C288" s="1">
        <f>((34.7+12.5+23.4)*4+12*2.1+15*1.9+6*1.9+6*1.9+9*1.9+12*1.3)*1.05+0.82-136</f>
        <v>276</v>
      </c>
      <c r="E288" s="101">
        <v>0</v>
      </c>
      <c r="G288" s="69">
        <f>C288*E288</f>
        <v>0</v>
      </c>
    </row>
    <row r="289" spans="1:7">
      <c r="E289" s="104"/>
    </row>
    <row r="290" spans="1:7">
      <c r="A290" s="3" t="s">
        <v>115</v>
      </c>
      <c r="B290" s="2" t="s">
        <v>119</v>
      </c>
      <c r="C290" s="1">
        <f>(34.7+12.5+23.4+2*0.5)*1.05-0.18-25</f>
        <v>49.999999999999986</v>
      </c>
      <c r="E290" s="101">
        <v>0</v>
      </c>
      <c r="G290" s="69">
        <f t="shared" ref="G290:G316" si="0">C290*E290</f>
        <v>0</v>
      </c>
    </row>
    <row r="291" spans="1:7">
      <c r="E291" s="104"/>
    </row>
    <row r="292" spans="1:7">
      <c r="A292" s="3" t="s">
        <v>116</v>
      </c>
      <c r="B292" s="2" t="s">
        <v>120</v>
      </c>
      <c r="C292" s="1">
        <f>(34.7+12.5)*1.05+0.44</f>
        <v>50</v>
      </c>
      <c r="E292" s="101">
        <v>0</v>
      </c>
      <c r="G292" s="69">
        <f t="shared" si="0"/>
        <v>0</v>
      </c>
    </row>
    <row r="293" spans="1:7">
      <c r="E293" s="104"/>
    </row>
    <row r="294" spans="1:7" ht="60">
      <c r="A294" s="3" t="s">
        <v>46</v>
      </c>
      <c r="B294" s="2" t="s">
        <v>132</v>
      </c>
      <c r="E294" s="104"/>
    </row>
    <row r="295" spans="1:7">
      <c r="E295" s="104"/>
    </row>
    <row r="296" spans="1:7">
      <c r="B296" s="2" t="s">
        <v>56</v>
      </c>
      <c r="C296" s="1">
        <v>0</v>
      </c>
      <c r="E296" s="101">
        <v>0</v>
      </c>
      <c r="G296" s="69">
        <f t="shared" si="0"/>
        <v>0</v>
      </c>
    </row>
    <row r="297" spans="1:7">
      <c r="E297" s="104"/>
    </row>
    <row r="298" spans="1:7">
      <c r="A298" s="3" t="s">
        <v>50</v>
      </c>
      <c r="B298" s="2" t="s">
        <v>117</v>
      </c>
      <c r="E298" s="104"/>
    </row>
    <row r="299" spans="1:7">
      <c r="E299" s="104"/>
    </row>
    <row r="300" spans="1:7">
      <c r="A300" s="3" t="s">
        <v>114</v>
      </c>
      <c r="B300" s="2" t="s">
        <v>118</v>
      </c>
      <c r="C300" s="1">
        <f>C288</f>
        <v>276</v>
      </c>
      <c r="E300" s="101">
        <v>0</v>
      </c>
      <c r="G300" s="69">
        <f t="shared" si="0"/>
        <v>0</v>
      </c>
    </row>
    <row r="301" spans="1:7">
      <c r="E301" s="104"/>
    </row>
    <row r="302" spans="1:7">
      <c r="A302" s="3" t="s">
        <v>115</v>
      </c>
      <c r="B302" s="2" t="s">
        <v>119</v>
      </c>
      <c r="C302" s="1">
        <f>C290</f>
        <v>49.999999999999986</v>
      </c>
      <c r="E302" s="101">
        <v>0</v>
      </c>
      <c r="G302" s="69">
        <f t="shared" si="0"/>
        <v>0</v>
      </c>
    </row>
    <row r="303" spans="1:7">
      <c r="E303" s="104"/>
    </row>
    <row r="304" spans="1:7">
      <c r="A304" s="3" t="s">
        <v>116</v>
      </c>
      <c r="B304" s="2" t="s">
        <v>120</v>
      </c>
      <c r="C304" s="1">
        <f>C292</f>
        <v>50</v>
      </c>
      <c r="E304" s="101">
        <v>0</v>
      </c>
      <c r="G304" s="69">
        <f t="shared" si="0"/>
        <v>0</v>
      </c>
    </row>
    <row r="305" spans="1:7">
      <c r="E305" s="104"/>
    </row>
    <row r="306" spans="1:7" ht="45">
      <c r="A306" s="3" t="s">
        <v>52</v>
      </c>
      <c r="B306" s="2" t="s">
        <v>121</v>
      </c>
      <c r="E306" s="104"/>
    </row>
    <row r="307" spans="1:7">
      <c r="E307" s="104"/>
    </row>
    <row r="308" spans="1:7">
      <c r="B308" s="2" t="s">
        <v>45</v>
      </c>
      <c r="C308" s="1">
        <f>(2*0.8+3*0.6)*1.05+0.03-1.9</f>
        <v>1.6999999999999997</v>
      </c>
      <c r="E308" s="101">
        <v>0</v>
      </c>
      <c r="G308" s="69">
        <f t="shared" si="0"/>
        <v>0</v>
      </c>
    </row>
    <row r="309" spans="1:7">
      <c r="E309" s="104"/>
    </row>
    <row r="310" spans="1:7" ht="45">
      <c r="A310" s="3" t="s">
        <v>54</v>
      </c>
      <c r="B310" s="2" t="s">
        <v>133</v>
      </c>
      <c r="E310" s="104"/>
    </row>
    <row r="311" spans="1:7">
      <c r="E311" s="104"/>
    </row>
    <row r="312" spans="1:7">
      <c r="B312" s="2" t="s">
        <v>56</v>
      </c>
      <c r="C312" s="1">
        <v>0</v>
      </c>
      <c r="E312" s="101">
        <v>0</v>
      </c>
      <c r="G312" s="69">
        <f t="shared" si="0"/>
        <v>0</v>
      </c>
    </row>
    <row r="313" spans="1:7">
      <c r="E313" s="104"/>
    </row>
    <row r="314" spans="1:7">
      <c r="A314" s="3" t="s">
        <v>57</v>
      </c>
      <c r="B314" s="2" t="s">
        <v>183</v>
      </c>
      <c r="E314" s="104"/>
    </row>
    <row r="315" spans="1:7">
      <c r="E315" s="104"/>
    </row>
    <row r="316" spans="1:7">
      <c r="B316" s="2" t="s">
        <v>59</v>
      </c>
      <c r="C316" s="1">
        <v>0</v>
      </c>
      <c r="E316" s="101">
        <v>0</v>
      </c>
      <c r="G316" s="69">
        <f t="shared" si="0"/>
        <v>0</v>
      </c>
    </row>
    <row r="317" spans="1:7">
      <c r="E317" s="104"/>
    </row>
    <row r="318" spans="1:7" ht="60">
      <c r="A318" s="3" t="s">
        <v>58</v>
      </c>
      <c r="B318" s="2" t="s">
        <v>123</v>
      </c>
      <c r="E318" s="104"/>
    </row>
    <row r="319" spans="1:7">
      <c r="E319" s="104"/>
    </row>
    <row r="320" spans="1:7" ht="13.5" customHeight="1">
      <c r="B320" s="2" t="s">
        <v>56</v>
      </c>
      <c r="C320" s="1">
        <f>(C299+C301+C303)</f>
        <v>0</v>
      </c>
      <c r="E320" s="102">
        <v>0</v>
      </c>
      <c r="G320" s="72">
        <f t="shared" ref="G320" si="1">C320*E320</f>
        <v>0</v>
      </c>
    </row>
    <row r="321" spans="1:9" ht="13.5" customHeight="1">
      <c r="B321" s="2" t="s">
        <v>339</v>
      </c>
      <c r="C321" s="1" t="s">
        <v>339</v>
      </c>
      <c r="D321" s="28" t="s">
        <v>339</v>
      </c>
      <c r="E321" s="102" t="s">
        <v>339</v>
      </c>
      <c r="F321" s="1" t="s">
        <v>339</v>
      </c>
      <c r="G321" s="72" t="s">
        <v>339</v>
      </c>
    </row>
    <row r="322" spans="1:9" s="19" customFormat="1" ht="15.75" thickBot="1">
      <c r="A322" s="79"/>
      <c r="B322" s="74" t="s">
        <v>124</v>
      </c>
      <c r="C322" s="75"/>
      <c r="D322" s="76"/>
      <c r="E322" s="103"/>
      <c r="F322" s="75" t="s">
        <v>41</v>
      </c>
      <c r="G322" s="75">
        <f>SUM(G282:G321)</f>
        <v>0</v>
      </c>
      <c r="H322" s="30"/>
      <c r="I322" s="30"/>
    </row>
    <row r="323" spans="1:9" ht="15.75" thickTop="1">
      <c r="E323" s="104"/>
    </row>
    <row r="324" spans="1:9" s="19" customFormat="1">
      <c r="A324" s="5" t="s">
        <v>125</v>
      </c>
      <c r="B324" s="6" t="s">
        <v>126</v>
      </c>
      <c r="C324" s="25"/>
      <c r="D324" s="30"/>
      <c r="E324" s="105"/>
      <c r="F324" s="25"/>
      <c r="G324" s="25"/>
      <c r="H324" s="30"/>
      <c r="I324" s="30"/>
    </row>
    <row r="325" spans="1:9">
      <c r="E325" s="104"/>
    </row>
    <row r="326" spans="1:9" ht="45">
      <c r="A326" s="3" t="s">
        <v>19</v>
      </c>
      <c r="B326" s="2" t="s">
        <v>127</v>
      </c>
      <c r="E326" s="104"/>
    </row>
    <row r="327" spans="1:9">
      <c r="E327" s="104"/>
    </row>
    <row r="328" spans="1:9">
      <c r="B328" s="2" t="s">
        <v>59</v>
      </c>
      <c r="C328" s="1">
        <v>1</v>
      </c>
      <c r="E328" s="101">
        <v>0</v>
      </c>
      <c r="G328" s="69">
        <f>C328*E328</f>
        <v>0</v>
      </c>
    </row>
    <row r="329" spans="1:9">
      <c r="E329" s="104"/>
    </row>
    <row r="330" spans="1:9" ht="60" customHeight="1">
      <c r="A330" s="3" t="s">
        <v>46</v>
      </c>
      <c r="B330" s="2" t="s">
        <v>128</v>
      </c>
      <c r="E330" s="104"/>
    </row>
    <row r="331" spans="1:9">
      <c r="E331" s="104"/>
    </row>
    <row r="332" spans="1:9">
      <c r="E332" s="104"/>
    </row>
    <row r="333" spans="1:9">
      <c r="E333" s="104"/>
    </row>
    <row r="334" spans="1:9">
      <c r="E334" s="104"/>
    </row>
    <row r="335" spans="1:9">
      <c r="E335" s="104"/>
    </row>
    <row r="336" spans="1:9">
      <c r="E336" s="104"/>
    </row>
    <row r="337" spans="1:9">
      <c r="E337" s="104"/>
    </row>
    <row r="338" spans="1:9">
      <c r="E338" s="104"/>
    </row>
    <row r="339" spans="1:9">
      <c r="E339" s="104"/>
    </row>
    <row r="340" spans="1:9">
      <c r="E340" s="104"/>
    </row>
    <row r="341" spans="1:9">
      <c r="E341" s="104"/>
    </row>
    <row r="342" spans="1:9" ht="6.75" customHeight="1">
      <c r="E342" s="104"/>
    </row>
    <row r="343" spans="1:9" ht="15" customHeight="1">
      <c r="B343" s="2" t="s">
        <v>130</v>
      </c>
      <c r="E343" s="104"/>
    </row>
    <row r="344" spans="1:9" ht="5.25" customHeight="1">
      <c r="E344" s="104"/>
    </row>
    <row r="345" spans="1:9" ht="12.75" customHeight="1">
      <c r="B345" s="2" t="s">
        <v>59</v>
      </c>
      <c r="C345" s="1">
        <v>19</v>
      </c>
      <c r="E345" s="101">
        <v>0</v>
      </c>
      <c r="G345" s="69">
        <f>C345*E345</f>
        <v>0</v>
      </c>
    </row>
    <row r="346" spans="1:9">
      <c r="B346" s="2" t="s">
        <v>339</v>
      </c>
      <c r="C346" s="1" t="s">
        <v>339</v>
      </c>
      <c r="D346" s="28" t="s">
        <v>339</v>
      </c>
      <c r="E346" s="102" t="s">
        <v>339</v>
      </c>
      <c r="F346" s="1" t="s">
        <v>339</v>
      </c>
      <c r="G346" s="72" t="s">
        <v>339</v>
      </c>
    </row>
    <row r="347" spans="1:9" s="19" customFormat="1" ht="15.75" thickBot="1">
      <c r="A347" s="79"/>
      <c r="B347" s="74" t="s">
        <v>129</v>
      </c>
      <c r="C347" s="75"/>
      <c r="D347" s="76"/>
      <c r="E347" s="103"/>
      <c r="F347" s="75" t="s">
        <v>41</v>
      </c>
      <c r="G347" s="75">
        <f>SUM(G324:G346)</f>
        <v>0</v>
      </c>
      <c r="H347" s="30"/>
      <c r="I347" s="30"/>
    </row>
    <row r="348" spans="1:9" ht="15.75" thickTop="1">
      <c r="E348" s="104"/>
    </row>
    <row r="349" spans="1:9">
      <c r="A349" s="5" t="s">
        <v>134</v>
      </c>
      <c r="B349" s="6" t="s">
        <v>135</v>
      </c>
      <c r="E349" s="104"/>
    </row>
    <row r="350" spans="1:9">
      <c r="E350" s="104"/>
    </row>
    <row r="351" spans="1:9" ht="60">
      <c r="A351" s="80" t="s">
        <v>111</v>
      </c>
      <c r="B351" s="2" t="s">
        <v>139</v>
      </c>
      <c r="E351" s="104"/>
    </row>
    <row r="352" spans="1:9">
      <c r="E352" s="104"/>
    </row>
    <row r="353" spans="1:7" ht="105">
      <c r="B353" s="2" t="s">
        <v>141</v>
      </c>
      <c r="E353" s="104"/>
    </row>
    <row r="354" spans="1:7">
      <c r="E354" s="104"/>
    </row>
    <row r="355" spans="1:7" ht="180">
      <c r="A355" s="3" t="s">
        <v>19</v>
      </c>
      <c r="B355" s="2" t="s">
        <v>138</v>
      </c>
      <c r="E355" s="104"/>
    </row>
    <row r="356" spans="1:7">
      <c r="E356" s="104"/>
    </row>
    <row r="357" spans="1:7">
      <c r="B357" s="2" t="s">
        <v>59</v>
      </c>
      <c r="C357" s="1">
        <v>1</v>
      </c>
      <c r="E357" s="101">
        <v>0</v>
      </c>
      <c r="G357" s="69">
        <f>C357*E357</f>
        <v>0</v>
      </c>
    </row>
    <row r="358" spans="1:7">
      <c r="E358" s="104"/>
    </row>
    <row r="359" spans="1:7" ht="45">
      <c r="A359" s="3" t="s">
        <v>46</v>
      </c>
      <c r="B359" s="2" t="s">
        <v>142</v>
      </c>
      <c r="E359" s="104"/>
    </row>
    <row r="360" spans="1:7">
      <c r="E360" s="104"/>
    </row>
    <row r="361" spans="1:7">
      <c r="A361" s="3" t="s">
        <v>114</v>
      </c>
      <c r="B361" s="2" t="s">
        <v>143</v>
      </c>
      <c r="C361" s="1">
        <v>15</v>
      </c>
      <c r="E361" s="101">
        <v>0</v>
      </c>
      <c r="G361" s="69">
        <f t="shared" ref="G361:G374" si="2">C361*E361</f>
        <v>0</v>
      </c>
    </row>
    <row r="362" spans="1:7">
      <c r="E362" s="104"/>
    </row>
    <row r="363" spans="1:7">
      <c r="A363" s="3" t="s">
        <v>115</v>
      </c>
      <c r="B363" s="2" t="s">
        <v>144</v>
      </c>
      <c r="C363" s="1">
        <v>25</v>
      </c>
      <c r="E363" s="101">
        <v>0</v>
      </c>
      <c r="G363" s="69">
        <f t="shared" si="2"/>
        <v>0</v>
      </c>
    </row>
    <row r="364" spans="1:7">
      <c r="E364" s="104"/>
    </row>
    <row r="365" spans="1:7">
      <c r="E365" s="104"/>
    </row>
    <row r="366" spans="1:7" ht="45">
      <c r="A366" s="3" t="s">
        <v>50</v>
      </c>
      <c r="B366" s="2" t="s">
        <v>192</v>
      </c>
      <c r="E366" s="104"/>
    </row>
    <row r="367" spans="1:7">
      <c r="E367" s="104"/>
    </row>
    <row r="368" spans="1:7">
      <c r="B368" s="2" t="s">
        <v>59</v>
      </c>
      <c r="C368" s="1">
        <v>10</v>
      </c>
      <c r="E368" s="101">
        <v>0</v>
      </c>
      <c r="G368" s="69">
        <f>C368*E368</f>
        <v>0</v>
      </c>
    </row>
    <row r="369" spans="1:8">
      <c r="E369" s="104"/>
    </row>
    <row r="370" spans="1:8" ht="210">
      <c r="A370" s="3" t="s">
        <v>52</v>
      </c>
      <c r="B370" s="2" t="s">
        <v>184</v>
      </c>
      <c r="E370" s="104"/>
    </row>
    <row r="371" spans="1:8">
      <c r="E371" s="104"/>
    </row>
    <row r="372" spans="1:8">
      <c r="A372" s="3" t="s">
        <v>114</v>
      </c>
      <c r="B372" s="2" t="s">
        <v>146</v>
      </c>
      <c r="C372" s="1">
        <f>C361</f>
        <v>15</v>
      </c>
      <c r="E372" s="101">
        <v>0</v>
      </c>
      <c r="G372" s="69">
        <f t="shared" si="2"/>
        <v>0</v>
      </c>
    </row>
    <row r="373" spans="1:8">
      <c r="E373" s="104"/>
    </row>
    <row r="374" spans="1:8">
      <c r="A374" s="3" t="s">
        <v>115</v>
      </c>
      <c r="B374" s="2" t="s">
        <v>147</v>
      </c>
      <c r="C374" s="1">
        <f>C363</f>
        <v>25</v>
      </c>
      <c r="E374" s="101">
        <v>0</v>
      </c>
      <c r="G374" s="69">
        <f t="shared" si="2"/>
        <v>0</v>
      </c>
    </row>
    <row r="375" spans="1:8">
      <c r="E375" s="104"/>
    </row>
    <row r="376" spans="1:8" ht="210">
      <c r="A376" s="3" t="s">
        <v>54</v>
      </c>
      <c r="B376" s="17" t="s">
        <v>149</v>
      </c>
      <c r="C376" s="31"/>
      <c r="D376" s="26"/>
      <c r="E376" s="106"/>
      <c r="F376" s="33"/>
      <c r="G376" s="32"/>
      <c r="H376" s="32"/>
    </row>
    <row r="377" spans="1:8">
      <c r="B377" s="17"/>
      <c r="C377" s="31"/>
      <c r="D377" s="26"/>
      <c r="E377" s="106"/>
      <c r="F377" s="33"/>
      <c r="G377" s="32"/>
      <c r="H377" s="32"/>
    </row>
    <row r="378" spans="1:8">
      <c r="B378" s="17"/>
      <c r="C378" s="31"/>
      <c r="D378" s="26"/>
      <c r="E378" s="106"/>
      <c r="F378" s="33"/>
      <c r="G378" s="32"/>
      <c r="H378" s="32"/>
    </row>
    <row r="379" spans="1:8">
      <c r="B379" s="17"/>
      <c r="C379" s="31"/>
      <c r="D379" s="26"/>
      <c r="E379" s="106"/>
      <c r="F379" s="33"/>
      <c r="G379" s="32"/>
      <c r="H379" s="32"/>
    </row>
    <row r="380" spans="1:8">
      <c r="B380" s="17"/>
      <c r="C380" s="31"/>
      <c r="D380" s="26"/>
      <c r="E380" s="106"/>
      <c r="F380" s="33"/>
      <c r="G380" s="32"/>
      <c r="H380" s="32"/>
    </row>
    <row r="381" spans="1:8">
      <c r="B381" s="17"/>
      <c r="C381" s="31"/>
      <c r="D381" s="26"/>
      <c r="E381" s="106"/>
      <c r="F381" s="33"/>
      <c r="G381" s="32"/>
      <c r="H381" s="32"/>
    </row>
    <row r="382" spans="1:8">
      <c r="B382" s="17"/>
      <c r="C382" s="31"/>
      <c r="D382" s="26"/>
      <c r="E382" s="106"/>
      <c r="F382" s="33"/>
      <c r="G382" s="32"/>
      <c r="H382" s="32"/>
    </row>
    <row r="383" spans="1:8">
      <c r="B383" s="17"/>
      <c r="C383" s="31"/>
      <c r="D383" s="26"/>
      <c r="E383" s="106"/>
      <c r="F383" s="33"/>
      <c r="G383" s="32"/>
      <c r="H383" s="32"/>
    </row>
    <row r="384" spans="1:8">
      <c r="B384" s="17"/>
      <c r="C384" s="31"/>
      <c r="D384" s="26"/>
      <c r="E384" s="106"/>
      <c r="F384" s="33"/>
      <c r="G384" s="32"/>
      <c r="H384" s="32"/>
    </row>
    <row r="385" spans="2:8">
      <c r="B385" s="17"/>
      <c r="C385" s="31"/>
      <c r="D385" s="26"/>
      <c r="E385" s="106"/>
      <c r="F385" s="33"/>
      <c r="G385" s="32"/>
      <c r="H385" s="32"/>
    </row>
    <row r="386" spans="2:8">
      <c r="B386" s="17"/>
      <c r="C386" s="31"/>
      <c r="D386" s="26"/>
      <c r="E386" s="106"/>
      <c r="F386" s="33"/>
      <c r="G386" s="32"/>
      <c r="H386" s="32"/>
    </row>
    <row r="387" spans="2:8">
      <c r="B387" s="17"/>
      <c r="C387" s="31"/>
      <c r="D387" s="26"/>
      <c r="E387" s="106"/>
      <c r="F387" s="33"/>
      <c r="G387" s="32"/>
      <c r="H387" s="32"/>
    </row>
    <row r="388" spans="2:8">
      <c r="B388" s="17"/>
      <c r="C388" s="31"/>
      <c r="D388" s="26"/>
      <c r="E388" s="106"/>
      <c r="F388" s="33"/>
      <c r="G388" s="32"/>
      <c r="H388" s="32"/>
    </row>
    <row r="389" spans="2:8">
      <c r="B389" s="17"/>
      <c r="C389" s="31"/>
      <c r="D389" s="26"/>
      <c r="E389" s="106"/>
      <c r="F389" s="33"/>
      <c r="G389" s="32"/>
      <c r="H389" s="32"/>
    </row>
    <row r="390" spans="2:8">
      <c r="B390" s="17"/>
      <c r="C390" s="31"/>
      <c r="D390" s="26"/>
      <c r="E390" s="106"/>
      <c r="F390" s="33"/>
      <c r="G390" s="32"/>
      <c r="H390" s="32"/>
    </row>
    <row r="391" spans="2:8">
      <c r="B391" s="17"/>
      <c r="C391" s="31"/>
      <c r="D391" s="26"/>
      <c r="E391" s="106"/>
      <c r="F391" s="33"/>
      <c r="G391" s="32"/>
      <c r="H391" s="32"/>
    </row>
    <row r="392" spans="2:8">
      <c r="B392" s="17"/>
      <c r="C392" s="31"/>
      <c r="D392" s="26"/>
      <c r="E392" s="106"/>
      <c r="F392" s="33"/>
      <c r="G392" s="32"/>
      <c r="H392" s="32"/>
    </row>
    <row r="393" spans="2:8">
      <c r="B393" s="17"/>
      <c r="C393" s="31"/>
      <c r="D393" s="26"/>
      <c r="E393" s="106"/>
      <c r="F393" s="33"/>
      <c r="G393" s="32"/>
      <c r="H393" s="32"/>
    </row>
    <row r="394" spans="2:8">
      <c r="B394" s="17"/>
      <c r="C394" s="31"/>
      <c r="D394" s="26"/>
      <c r="E394" s="106"/>
      <c r="F394" s="33"/>
      <c r="G394" s="32"/>
      <c r="H394" s="32"/>
    </row>
    <row r="395" spans="2:8">
      <c r="B395" s="17" t="s">
        <v>148</v>
      </c>
      <c r="C395" s="31"/>
      <c r="D395" s="26"/>
      <c r="E395" s="106"/>
      <c r="F395" s="33"/>
      <c r="G395" s="32"/>
      <c r="H395" s="32"/>
    </row>
    <row r="396" spans="2:8">
      <c r="B396" s="17"/>
      <c r="C396" s="31"/>
      <c r="D396" s="26"/>
      <c r="E396" s="106"/>
      <c r="F396" s="33"/>
      <c r="G396" s="32"/>
      <c r="H396" s="32"/>
    </row>
    <row r="397" spans="2:8">
      <c r="B397" s="17"/>
      <c r="C397" s="31"/>
      <c r="D397" s="26"/>
      <c r="E397" s="106"/>
      <c r="F397" s="33"/>
      <c r="G397" s="32"/>
      <c r="H397" s="32"/>
    </row>
    <row r="398" spans="2:8">
      <c r="B398" s="17"/>
      <c r="C398" s="31"/>
      <c r="D398" s="26"/>
      <c r="E398" s="106"/>
      <c r="F398" s="33"/>
      <c r="G398" s="32"/>
      <c r="H398" s="32"/>
    </row>
    <row r="399" spans="2:8">
      <c r="B399" s="17"/>
      <c r="C399" s="31"/>
      <c r="D399" s="26"/>
      <c r="E399" s="106"/>
      <c r="F399" s="33"/>
      <c r="G399" s="32"/>
      <c r="H399" s="32"/>
    </row>
    <row r="400" spans="2:8">
      <c r="B400" s="17"/>
      <c r="C400" s="31"/>
      <c r="D400" s="26"/>
      <c r="E400" s="106"/>
      <c r="F400" s="33"/>
      <c r="G400" s="32"/>
      <c r="H400" s="32"/>
    </row>
    <row r="401" spans="1:9">
      <c r="B401" s="17"/>
      <c r="C401" s="31"/>
      <c r="D401" s="26"/>
      <c r="E401" s="106"/>
      <c r="F401" s="33"/>
      <c r="G401" s="32"/>
      <c r="H401" s="32"/>
    </row>
    <row r="402" spans="1:9">
      <c r="B402" s="17"/>
      <c r="C402" s="31"/>
      <c r="D402" s="26"/>
      <c r="E402" s="106"/>
      <c r="F402" s="33"/>
      <c r="G402" s="32"/>
      <c r="H402" s="32"/>
    </row>
    <row r="403" spans="1:9">
      <c r="B403" s="17"/>
      <c r="C403" s="31"/>
      <c r="D403" s="26"/>
      <c r="E403" s="106"/>
      <c r="F403" s="33"/>
      <c r="G403" s="32"/>
      <c r="H403" s="32"/>
    </row>
    <row r="404" spans="1:9">
      <c r="B404" s="17" t="s">
        <v>150</v>
      </c>
      <c r="C404" s="31"/>
      <c r="D404" s="26"/>
      <c r="E404" s="106"/>
      <c r="F404" s="33"/>
      <c r="G404" s="32"/>
      <c r="H404" s="32"/>
    </row>
    <row r="405" spans="1:9">
      <c r="B405" s="17"/>
      <c r="C405" s="31"/>
      <c r="D405" s="26"/>
      <c r="E405" s="106"/>
      <c r="F405" s="33"/>
      <c r="G405" s="32"/>
      <c r="H405" s="32"/>
    </row>
    <row r="406" spans="1:9" ht="30">
      <c r="A406" s="23" t="s">
        <v>114</v>
      </c>
      <c r="B406" s="17" t="s">
        <v>151</v>
      </c>
      <c r="C406" s="36"/>
      <c r="D406" s="37"/>
      <c r="E406" s="107"/>
      <c r="F406" s="38"/>
      <c r="G406" s="39"/>
      <c r="H406" s="39"/>
      <c r="I406" s="35"/>
    </row>
    <row r="407" spans="1:9">
      <c r="A407" s="23"/>
      <c r="B407" s="17"/>
      <c r="C407" s="36"/>
      <c r="D407" s="37"/>
      <c r="E407" s="107"/>
      <c r="F407" s="38"/>
      <c r="G407" s="39"/>
      <c r="H407" s="39"/>
      <c r="I407" s="35"/>
    </row>
    <row r="408" spans="1:9">
      <c r="A408" s="23"/>
      <c r="B408" s="17" t="s">
        <v>59</v>
      </c>
      <c r="C408" s="36">
        <v>1</v>
      </c>
      <c r="D408" s="37"/>
      <c r="E408" s="108">
        <v>0</v>
      </c>
      <c r="F408" s="38"/>
      <c r="G408" s="39">
        <f>C408*E408</f>
        <v>0</v>
      </c>
      <c r="H408" s="39"/>
      <c r="I408" s="35"/>
    </row>
    <row r="409" spans="1:9">
      <c r="A409" s="23" t="s">
        <v>339</v>
      </c>
      <c r="B409" s="17" t="s">
        <v>339</v>
      </c>
      <c r="C409" s="36" t="s">
        <v>339</v>
      </c>
      <c r="D409" s="37" t="s">
        <v>339</v>
      </c>
      <c r="E409" s="108" t="s">
        <v>339</v>
      </c>
      <c r="F409" s="38" t="s">
        <v>339</v>
      </c>
      <c r="G409" s="39" t="s">
        <v>339</v>
      </c>
      <c r="H409" s="39"/>
      <c r="I409" s="35"/>
    </row>
    <row r="410" spans="1:9" s="54" customFormat="1" ht="16.5" customHeight="1" thickBot="1">
      <c r="A410" s="79"/>
      <c r="B410" s="81" t="s">
        <v>153</v>
      </c>
      <c r="C410" s="82"/>
      <c r="D410" s="83"/>
      <c r="E410" s="109"/>
      <c r="F410" s="75" t="s">
        <v>41</v>
      </c>
      <c r="G410" s="85">
        <f>SUM(G349:G409)</f>
        <v>0</v>
      </c>
      <c r="H410" s="52"/>
      <c r="I410" s="53"/>
    </row>
    <row r="411" spans="1:9" ht="15.75" thickTop="1">
      <c r="B411" s="20"/>
      <c r="C411" s="31"/>
      <c r="D411" s="26"/>
      <c r="E411" s="106"/>
      <c r="F411" s="33"/>
      <c r="G411" s="32"/>
      <c r="H411" s="32"/>
    </row>
    <row r="412" spans="1:9">
      <c r="A412" s="5" t="s">
        <v>136</v>
      </c>
      <c r="B412" s="6" t="s">
        <v>137</v>
      </c>
      <c r="E412" s="104"/>
      <c r="F412" s="34"/>
    </row>
    <row r="413" spans="1:9">
      <c r="E413" s="104"/>
      <c r="F413" s="34"/>
    </row>
    <row r="414" spans="1:9" ht="135">
      <c r="A414" s="80" t="s">
        <v>111</v>
      </c>
      <c r="B414" s="2" t="s">
        <v>140</v>
      </c>
      <c r="E414" s="104"/>
      <c r="F414" s="34"/>
    </row>
    <row r="415" spans="1:9">
      <c r="E415" s="104"/>
      <c r="F415" s="34"/>
    </row>
    <row r="416" spans="1:9" ht="90">
      <c r="A416" s="3" t="s">
        <v>19</v>
      </c>
      <c r="B416" s="17" t="s">
        <v>156</v>
      </c>
      <c r="E416" s="104"/>
      <c r="F416" s="34"/>
    </row>
    <row r="417" spans="1:7">
      <c r="B417" s="21"/>
      <c r="E417" s="104"/>
      <c r="F417" s="34"/>
    </row>
    <row r="418" spans="1:7">
      <c r="B418" s="2" t="s">
        <v>45</v>
      </c>
      <c r="C418" s="1">
        <f>C139</f>
        <v>818.00400000000002</v>
      </c>
      <c r="E418" s="101">
        <v>0</v>
      </c>
      <c r="F418" s="34"/>
      <c r="G418" s="69">
        <f>C418*E418</f>
        <v>0</v>
      </c>
    </row>
    <row r="419" spans="1:7">
      <c r="E419" s="104"/>
      <c r="F419" s="34"/>
    </row>
    <row r="420" spans="1:7" ht="90" customHeight="1">
      <c r="A420" s="3" t="s">
        <v>154</v>
      </c>
      <c r="B420" s="17" t="s">
        <v>155</v>
      </c>
      <c r="E420" s="104"/>
      <c r="F420" s="34"/>
    </row>
    <row r="421" spans="1:7">
      <c r="E421" s="104"/>
      <c r="F421" s="34"/>
    </row>
    <row r="422" spans="1:7">
      <c r="B422" s="2" t="s">
        <v>45</v>
      </c>
      <c r="C422" s="1">
        <f>C418</f>
        <v>818.00400000000002</v>
      </c>
      <c r="E422" s="101">
        <v>0</v>
      </c>
      <c r="F422" s="34"/>
      <c r="G422" s="69">
        <f>C422*E422</f>
        <v>0</v>
      </c>
    </row>
    <row r="423" spans="1:7">
      <c r="E423" s="104"/>
      <c r="F423" s="34"/>
    </row>
    <row r="424" spans="1:7" ht="256.5" customHeight="1">
      <c r="A424" s="3" t="s">
        <v>50</v>
      </c>
      <c r="B424" s="17" t="s">
        <v>173</v>
      </c>
      <c r="E424" s="104"/>
      <c r="F424" s="34"/>
    </row>
    <row r="425" spans="1:7" ht="15" customHeight="1">
      <c r="B425" s="17"/>
      <c r="E425" s="104"/>
      <c r="F425" s="34"/>
    </row>
    <row r="426" spans="1:7" ht="15" customHeight="1">
      <c r="A426" s="3" t="s">
        <v>114</v>
      </c>
      <c r="B426" s="17" t="s">
        <v>157</v>
      </c>
      <c r="C426" s="1">
        <f>18-C372</f>
        <v>3</v>
      </c>
      <c r="E426" s="101">
        <v>0</v>
      </c>
      <c r="F426" s="34"/>
      <c r="G426" s="69">
        <f>C426*E426</f>
        <v>0</v>
      </c>
    </row>
    <row r="427" spans="1:7" ht="15" customHeight="1">
      <c r="B427" s="17"/>
      <c r="E427" s="104"/>
      <c r="F427" s="34"/>
    </row>
    <row r="428" spans="1:7" ht="15" customHeight="1">
      <c r="A428" s="3" t="s">
        <v>115</v>
      </c>
      <c r="B428" s="17" t="s">
        <v>147</v>
      </c>
      <c r="C428" s="1">
        <f>31-C374</f>
        <v>6</v>
      </c>
      <c r="E428" s="101">
        <v>0</v>
      </c>
      <c r="F428" s="34"/>
      <c r="G428" s="69">
        <f>C428*E428</f>
        <v>0</v>
      </c>
    </row>
    <row r="429" spans="1:7" ht="15" customHeight="1">
      <c r="B429" s="17"/>
      <c r="E429" s="104"/>
      <c r="F429" s="34"/>
    </row>
    <row r="430" spans="1:7" ht="45">
      <c r="A430" s="3" t="s">
        <v>52</v>
      </c>
      <c r="B430" s="17" t="s">
        <v>158</v>
      </c>
      <c r="E430" s="104"/>
      <c r="F430" s="34"/>
    </row>
    <row r="431" spans="1:7" ht="15" customHeight="1">
      <c r="B431" s="17"/>
      <c r="E431" s="104"/>
      <c r="F431" s="34"/>
    </row>
    <row r="432" spans="1:7" ht="15" customHeight="1">
      <c r="B432" s="17" t="s">
        <v>45</v>
      </c>
      <c r="C432" s="1">
        <v>1</v>
      </c>
      <c r="E432" s="101">
        <v>0</v>
      </c>
      <c r="F432" s="34"/>
      <c r="G432" s="69">
        <f>C432*E432</f>
        <v>0</v>
      </c>
    </row>
    <row r="433" spans="1:9" ht="15" customHeight="1">
      <c r="B433" s="17"/>
      <c r="E433" s="104"/>
      <c r="F433" s="34"/>
    </row>
    <row r="434" spans="1:9" ht="30">
      <c r="A434" s="3" t="s">
        <v>54</v>
      </c>
      <c r="B434" s="40" t="s">
        <v>159</v>
      </c>
      <c r="E434" s="104"/>
      <c r="F434" s="34"/>
    </row>
    <row r="435" spans="1:9">
      <c r="E435" s="104"/>
      <c r="F435" s="34"/>
    </row>
    <row r="436" spans="1:9">
      <c r="B436" s="2" t="s">
        <v>59</v>
      </c>
      <c r="C436" s="1">
        <v>1</v>
      </c>
      <c r="E436" s="102">
        <v>0</v>
      </c>
      <c r="F436" s="34"/>
      <c r="G436" s="72">
        <f>C436*E436</f>
        <v>0</v>
      </c>
    </row>
    <row r="437" spans="1:9">
      <c r="B437" s="2" t="s">
        <v>339</v>
      </c>
      <c r="C437" s="1" t="s">
        <v>339</v>
      </c>
      <c r="D437" s="28" t="s">
        <v>339</v>
      </c>
      <c r="E437" s="102" t="s">
        <v>339</v>
      </c>
      <c r="F437" s="34" t="s">
        <v>339</v>
      </c>
      <c r="G437" s="72" t="s">
        <v>350</v>
      </c>
    </row>
    <row r="438" spans="1:9" s="19" customFormat="1" ht="15.75" thickBot="1">
      <c r="A438" s="79"/>
      <c r="B438" s="74" t="s">
        <v>160</v>
      </c>
      <c r="C438" s="75"/>
      <c r="D438" s="76"/>
      <c r="E438" s="103"/>
      <c r="F438" s="86" t="s">
        <v>41</v>
      </c>
      <c r="G438" s="75">
        <f>SUM(G412:G437)</f>
        <v>0</v>
      </c>
      <c r="H438" s="30"/>
      <c r="I438" s="30"/>
    </row>
    <row r="439" spans="1:9" ht="15.75" thickTop="1">
      <c r="F439" s="34"/>
    </row>
    <row r="440" spans="1:9">
      <c r="A440" s="5" t="s">
        <v>161</v>
      </c>
      <c r="B440" s="6" t="s">
        <v>162</v>
      </c>
    </row>
    <row r="442" spans="1:9" ht="105.75" customHeight="1">
      <c r="A442" s="3">
        <v>1</v>
      </c>
      <c r="B442" s="2" t="s">
        <v>163</v>
      </c>
      <c r="G442" s="87">
        <f>(G94+G273+G280+G322+G347+G410+G438)*0.1</f>
        <v>0</v>
      </c>
    </row>
    <row r="443" spans="1:9" ht="13.5" customHeight="1">
      <c r="G443" s="87"/>
    </row>
    <row r="444" spans="1:9" s="19" customFormat="1" ht="15.75" thickBot="1">
      <c r="A444" s="79"/>
      <c r="B444" s="74" t="s">
        <v>164</v>
      </c>
      <c r="C444" s="75"/>
      <c r="D444" s="76"/>
      <c r="E444" s="75"/>
      <c r="F444" s="75" t="s">
        <v>41</v>
      </c>
      <c r="G444" s="75">
        <f>SUM(G440:G443)</f>
        <v>0</v>
      </c>
      <c r="H444" s="30"/>
      <c r="I444" s="30"/>
    </row>
    <row r="445" spans="1:9" s="19" customFormat="1" ht="15.75" thickTop="1">
      <c r="A445" s="42"/>
      <c r="B445" s="43"/>
      <c r="C445" s="44"/>
      <c r="D445" s="45"/>
      <c r="E445" s="44"/>
      <c r="F445" s="44"/>
      <c r="G445" s="44"/>
      <c r="H445" s="30"/>
      <c r="I445" s="30"/>
    </row>
    <row r="447" spans="1:9">
      <c r="A447" s="95"/>
      <c r="B447" s="96" t="s">
        <v>165</v>
      </c>
      <c r="G447" s="1" t="s">
        <v>339</v>
      </c>
    </row>
    <row r="449" spans="1:7">
      <c r="A449" s="3" t="s">
        <v>17</v>
      </c>
      <c r="B449" s="2" t="s">
        <v>18</v>
      </c>
      <c r="G449" s="69">
        <f>G94</f>
        <v>0</v>
      </c>
    </row>
    <row r="450" spans="1:7">
      <c r="G450" s="72"/>
    </row>
    <row r="451" spans="1:7">
      <c r="A451" s="3" t="s">
        <v>42</v>
      </c>
      <c r="B451" s="2" t="s">
        <v>43</v>
      </c>
      <c r="G451" s="69">
        <f>G273</f>
        <v>0</v>
      </c>
    </row>
    <row r="452" spans="1:7">
      <c r="G452" s="72"/>
    </row>
    <row r="453" spans="1:7">
      <c r="A453" s="3" t="s">
        <v>105</v>
      </c>
      <c r="B453" s="2" t="s">
        <v>106</v>
      </c>
      <c r="G453" s="69">
        <f>G280</f>
        <v>0</v>
      </c>
    </row>
    <row r="454" spans="1:7">
      <c r="G454" s="72"/>
    </row>
    <row r="455" spans="1:7">
      <c r="A455" s="3" t="s">
        <v>109</v>
      </c>
      <c r="B455" s="2" t="s">
        <v>110</v>
      </c>
      <c r="G455" s="69">
        <f>G322</f>
        <v>0</v>
      </c>
    </row>
    <row r="456" spans="1:7">
      <c r="G456" s="72"/>
    </row>
    <row r="457" spans="1:7">
      <c r="A457" s="3" t="s">
        <v>125</v>
      </c>
      <c r="B457" s="2" t="s">
        <v>126</v>
      </c>
      <c r="G457" s="69">
        <f>G347</f>
        <v>0</v>
      </c>
    </row>
    <row r="459" spans="1:7">
      <c r="A459" s="3" t="s">
        <v>134</v>
      </c>
      <c r="B459" s="2" t="s">
        <v>135</v>
      </c>
      <c r="G459" s="69">
        <f>G410</f>
        <v>0</v>
      </c>
    </row>
    <row r="461" spans="1:7">
      <c r="A461" s="3" t="s">
        <v>136</v>
      </c>
      <c r="B461" s="2" t="s">
        <v>166</v>
      </c>
      <c r="G461" s="69">
        <f>G438</f>
        <v>0</v>
      </c>
    </row>
    <row r="463" spans="1:7">
      <c r="A463" s="3" t="s">
        <v>161</v>
      </c>
      <c r="B463" s="2" t="s">
        <v>167</v>
      </c>
      <c r="G463" s="69">
        <f>G444</f>
        <v>0</v>
      </c>
    </row>
    <row r="464" spans="1:7">
      <c r="G464" s="72"/>
    </row>
    <row r="465" spans="1:7" ht="15.75" thickBot="1">
      <c r="A465" s="90"/>
      <c r="B465" s="91" t="s">
        <v>168</v>
      </c>
      <c r="C465" s="92"/>
      <c r="D465" s="93"/>
      <c r="E465" s="92"/>
      <c r="F465" s="92"/>
      <c r="G465" s="94">
        <f>SUM(G447:G463)</f>
        <v>0</v>
      </c>
    </row>
    <row r="466" spans="1:7" ht="15.75" thickTop="1"/>
  </sheetData>
  <sheetProtection algorithmName="SHA-512" hashValue="aQoBRBxTkWpnUEELswnTL0dtktt0PmjXQ6xhodANPMehEu0sAuySp8Wl95NEbeJX03fd60tpE750OihABF2Tsg==" saltValue="JsIwwkMLEDSJabSdC9C7iw==" spinCount="100000" sheet="1" objects="1" scenarios="1" selectLockedCells="1"/>
  <mergeCells count="1">
    <mergeCell ref="A2:G2"/>
  </mergeCells>
  <pageMargins left="0.9055118110236221" right="0.51181102362204722" top="0.6692913385826772" bottom="0.55118110236220474" header="0.31496062992125984" footer="0.31496062992125984"/>
  <pageSetup paperSize="9" scale="9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D7A0423-3211-423E-967A-623F14CFC2D6}">
  <sheetPr>
    <tabColor rgb="FFFFFF00"/>
  </sheetPr>
  <dimension ref="A1:G469"/>
  <sheetViews>
    <sheetView showGridLines="0" view="pageBreakPreview" zoomScaleNormal="100" zoomScaleSheetLayoutView="100" workbookViewId="0">
      <selection activeCell="E94" sqref="E94"/>
    </sheetView>
  </sheetViews>
  <sheetFormatPr defaultRowHeight="15"/>
  <cols>
    <col min="1" max="1" width="5" style="3" customWidth="1"/>
    <col min="2" max="2" width="44" style="2" customWidth="1"/>
    <col min="3" max="3" width="10.85546875" style="1" customWidth="1"/>
    <col min="4" max="4" width="3.5703125" style="28" customWidth="1"/>
    <col min="5" max="5" width="10.140625" style="1" bestFit="1" customWidth="1"/>
    <col min="6" max="6" width="3" style="1" customWidth="1"/>
    <col min="7" max="7" width="11" style="1" customWidth="1"/>
  </cols>
  <sheetData>
    <row r="1" spans="1:7" s="50" customFormat="1" ht="19.5">
      <c r="A1" s="47" t="s">
        <v>351</v>
      </c>
      <c r="B1" s="47"/>
      <c r="C1" s="48"/>
      <c r="D1" s="49"/>
      <c r="E1" s="48"/>
      <c r="F1" s="48"/>
      <c r="G1" s="114" t="s">
        <v>365</v>
      </c>
    </row>
    <row r="2" spans="1:7" ht="16.5" customHeight="1">
      <c r="A2" s="118" t="s">
        <v>366</v>
      </c>
      <c r="B2" s="118"/>
      <c r="C2" s="118"/>
      <c r="D2" s="118"/>
      <c r="E2" s="118"/>
      <c r="F2" s="118"/>
      <c r="G2" s="118"/>
    </row>
    <row r="3" spans="1:7" ht="18.75">
      <c r="A3" s="11"/>
      <c r="B3" s="12"/>
    </row>
    <row r="4" spans="1:7" ht="18.75">
      <c r="A4" s="5" t="s">
        <v>37</v>
      </c>
      <c r="B4" s="12"/>
    </row>
    <row r="5" spans="1:7" ht="18.75">
      <c r="A5" s="5"/>
      <c r="B5" s="12"/>
    </row>
    <row r="6" spans="1:7" ht="18.75">
      <c r="A6" s="5"/>
      <c r="B6" s="12"/>
    </row>
    <row r="18" spans="1:1">
      <c r="A18" s="3" t="s">
        <v>169</v>
      </c>
    </row>
    <row r="36" spans="1:1">
      <c r="A36" s="3" t="s">
        <v>170</v>
      </c>
    </row>
    <row r="53" spans="1:2">
      <c r="A53" s="3" t="s">
        <v>188</v>
      </c>
    </row>
    <row r="55" spans="1:2" ht="9.75" customHeight="1"/>
    <row r="56" spans="1:2">
      <c r="A56" s="5" t="s">
        <v>0</v>
      </c>
      <c r="B56" s="6"/>
    </row>
    <row r="58" spans="1:2" ht="75">
      <c r="A58" s="3" t="s">
        <v>1</v>
      </c>
      <c r="B58" s="2" t="s">
        <v>2</v>
      </c>
    </row>
    <row r="59" spans="1:2" ht="45">
      <c r="A59" s="4" t="s">
        <v>3</v>
      </c>
      <c r="B59" s="2" t="s">
        <v>4</v>
      </c>
    </row>
    <row r="60" spans="1:2" ht="60">
      <c r="A60" s="4" t="s">
        <v>1</v>
      </c>
      <c r="B60" s="2" t="s">
        <v>5</v>
      </c>
    </row>
    <row r="61" spans="1:2" ht="90">
      <c r="A61" s="4" t="s">
        <v>1</v>
      </c>
      <c r="B61" s="2" t="s">
        <v>6</v>
      </c>
    </row>
    <row r="62" spans="1:2" ht="90">
      <c r="A62" s="4" t="s">
        <v>1</v>
      </c>
      <c r="B62" s="2" t="s">
        <v>74</v>
      </c>
    </row>
    <row r="63" spans="1:2" ht="75">
      <c r="A63" s="4" t="s">
        <v>1</v>
      </c>
      <c r="B63" s="2" t="s">
        <v>7</v>
      </c>
    </row>
    <row r="64" spans="1:2" ht="105" customHeight="1">
      <c r="A64" s="4" t="s">
        <v>1</v>
      </c>
      <c r="B64" s="2" t="s">
        <v>8</v>
      </c>
    </row>
    <row r="65" spans="1:2" ht="75">
      <c r="A65" s="4" t="s">
        <v>1</v>
      </c>
      <c r="B65" s="2" t="s">
        <v>9</v>
      </c>
    </row>
    <row r="66" spans="1:2" ht="45">
      <c r="A66" s="4" t="s">
        <v>1</v>
      </c>
      <c r="B66" s="2" t="s">
        <v>10</v>
      </c>
    </row>
    <row r="67" spans="1:2" ht="45">
      <c r="A67" s="4" t="s">
        <v>1</v>
      </c>
      <c r="B67" s="2" t="s">
        <v>11</v>
      </c>
    </row>
    <row r="68" spans="1:2" ht="75">
      <c r="A68" s="4" t="s">
        <v>1</v>
      </c>
      <c r="B68" s="2" t="s">
        <v>12</v>
      </c>
    </row>
    <row r="69" spans="1:2" ht="75">
      <c r="A69" s="4" t="s">
        <v>1</v>
      </c>
      <c r="B69" s="2" t="s">
        <v>13</v>
      </c>
    </row>
    <row r="70" spans="1:2" ht="30">
      <c r="A70" s="4" t="s">
        <v>1</v>
      </c>
      <c r="B70" s="2" t="s">
        <v>14</v>
      </c>
    </row>
    <row r="71" spans="1:2" ht="60">
      <c r="A71" s="4" t="s">
        <v>1</v>
      </c>
      <c r="B71" s="2" t="s">
        <v>171</v>
      </c>
    </row>
    <row r="72" spans="1:2" ht="90" customHeight="1">
      <c r="A72" s="4" t="s">
        <v>1</v>
      </c>
      <c r="B72" s="2" t="s">
        <v>16</v>
      </c>
    </row>
    <row r="74" spans="1:2">
      <c r="A74" s="5" t="s">
        <v>17</v>
      </c>
      <c r="B74" s="6" t="s">
        <v>18</v>
      </c>
    </row>
    <row r="76" spans="1:2" ht="45">
      <c r="A76" s="3" t="s">
        <v>19</v>
      </c>
      <c r="B76" s="7" t="s">
        <v>20</v>
      </c>
    </row>
    <row r="77" spans="1:2" ht="75">
      <c r="B77" s="8" t="s">
        <v>21</v>
      </c>
    </row>
    <row r="78" spans="1:2" ht="105">
      <c r="B78" s="8" t="s">
        <v>22</v>
      </c>
    </row>
    <row r="79" spans="1:2">
      <c r="B79" s="9" t="s">
        <v>23</v>
      </c>
    </row>
    <row r="80" spans="1:2" ht="30">
      <c r="B80" s="9" t="s">
        <v>24</v>
      </c>
    </row>
    <row r="81" spans="1:7" ht="45">
      <c r="B81" s="9" t="s">
        <v>25</v>
      </c>
    </row>
    <row r="82" spans="1:7" ht="60">
      <c r="B82" s="9" t="s">
        <v>32</v>
      </c>
    </row>
    <row r="83" spans="1:7" ht="45">
      <c r="B83" s="9" t="s">
        <v>33</v>
      </c>
    </row>
    <row r="84" spans="1:7" ht="75">
      <c r="B84" s="9" t="s">
        <v>34</v>
      </c>
    </row>
    <row r="85" spans="1:7" ht="30">
      <c r="B85" s="9" t="s">
        <v>26</v>
      </c>
    </row>
    <row r="86" spans="1:7" ht="30">
      <c r="B86" s="9" t="s">
        <v>27</v>
      </c>
    </row>
    <row r="87" spans="1:7" ht="45">
      <c r="B87" s="9" t="s">
        <v>28</v>
      </c>
    </row>
    <row r="88" spans="1:7" ht="60">
      <c r="B88" s="9" t="s">
        <v>29</v>
      </c>
    </row>
    <row r="89" spans="1:7">
      <c r="B89" s="9" t="s">
        <v>30</v>
      </c>
    </row>
    <row r="90" spans="1:7">
      <c r="B90" s="9" t="s">
        <v>31</v>
      </c>
    </row>
    <row r="92" spans="1:7" ht="30">
      <c r="B92" s="10" t="s">
        <v>35</v>
      </c>
    </row>
    <row r="94" spans="1:7">
      <c r="B94" s="2" t="s">
        <v>36</v>
      </c>
      <c r="C94" s="1">
        <v>1</v>
      </c>
      <c r="E94" s="101">
        <v>0</v>
      </c>
      <c r="G94" s="69">
        <f>C94*E94</f>
        <v>0</v>
      </c>
    </row>
    <row r="95" spans="1:7">
      <c r="E95" s="104"/>
    </row>
    <row r="96" spans="1:7" ht="15.75" thickBot="1">
      <c r="A96" s="73"/>
      <c r="B96" s="74" t="s">
        <v>40</v>
      </c>
      <c r="C96" s="75"/>
      <c r="D96" s="76"/>
      <c r="E96" s="103"/>
      <c r="F96" s="75" t="s">
        <v>41</v>
      </c>
      <c r="G96" s="75">
        <f>SUM(G74:G95)</f>
        <v>0</v>
      </c>
    </row>
    <row r="97" spans="1:7" ht="15.75" thickTop="1">
      <c r="E97" s="104"/>
    </row>
    <row r="98" spans="1:7">
      <c r="A98" s="5" t="s">
        <v>42</v>
      </c>
      <c r="B98" s="6" t="s">
        <v>43</v>
      </c>
      <c r="E98" s="104"/>
    </row>
    <row r="99" spans="1:7">
      <c r="E99" s="104"/>
    </row>
    <row r="100" spans="1:7" ht="45">
      <c r="A100" s="3" t="s">
        <v>19</v>
      </c>
      <c r="B100" s="2" t="s">
        <v>48</v>
      </c>
      <c r="E100" s="104"/>
    </row>
    <row r="101" spans="1:7">
      <c r="E101" s="104"/>
    </row>
    <row r="102" spans="1:7">
      <c r="B102" s="2" t="s">
        <v>45</v>
      </c>
      <c r="C102" s="1">
        <f>(36.8+13.6+23.6)*16.5*1.05-23.6*1.3+0.63-378</f>
        <v>874</v>
      </c>
      <c r="E102" s="101">
        <v>0</v>
      </c>
      <c r="G102" s="69">
        <f>C102*E102</f>
        <v>0</v>
      </c>
    </row>
    <row r="103" spans="1:7">
      <c r="E103" s="104"/>
    </row>
    <row r="104" spans="1:7" ht="30">
      <c r="A104" s="3" t="s">
        <v>46</v>
      </c>
      <c r="B104" s="2" t="s">
        <v>49</v>
      </c>
      <c r="E104" s="104"/>
    </row>
    <row r="105" spans="1:7">
      <c r="E105" s="104"/>
    </row>
    <row r="106" spans="1:7">
      <c r="B106" s="2" t="s">
        <v>36</v>
      </c>
      <c r="C106" s="1">
        <v>2</v>
      </c>
      <c r="E106" s="101">
        <v>0</v>
      </c>
      <c r="G106" s="69">
        <f t="shared" ref="G106:G165" si="0">C106*E106</f>
        <v>0</v>
      </c>
    </row>
    <row r="107" spans="1:7">
      <c r="E107" s="104"/>
    </row>
    <row r="108" spans="1:7" ht="30">
      <c r="A108" s="3" t="s">
        <v>50</v>
      </c>
      <c r="B108" s="2" t="s">
        <v>51</v>
      </c>
      <c r="E108" s="104"/>
    </row>
    <row r="109" spans="1:7">
      <c r="E109" s="104"/>
    </row>
    <row r="110" spans="1:7">
      <c r="B110" s="2" t="s">
        <v>36</v>
      </c>
      <c r="C110" s="1">
        <v>2</v>
      </c>
      <c r="E110" s="101">
        <v>0</v>
      </c>
      <c r="G110" s="69">
        <f t="shared" si="0"/>
        <v>0</v>
      </c>
    </row>
    <row r="111" spans="1:7">
      <c r="E111" s="104"/>
    </row>
    <row r="112" spans="1:7" ht="30">
      <c r="A112" s="3" t="s">
        <v>52</v>
      </c>
      <c r="B112" s="2" t="s">
        <v>53</v>
      </c>
      <c r="E112" s="104"/>
    </row>
    <row r="113" spans="1:7">
      <c r="E113" s="104"/>
    </row>
    <row r="114" spans="1:7">
      <c r="B114" s="2" t="s">
        <v>36</v>
      </c>
      <c r="C114" s="1">
        <v>1</v>
      </c>
      <c r="E114" s="101">
        <v>0</v>
      </c>
      <c r="G114" s="69">
        <f t="shared" si="0"/>
        <v>0</v>
      </c>
    </row>
    <row r="115" spans="1:7">
      <c r="E115" s="104"/>
    </row>
    <row r="116" spans="1:7" ht="15" customHeight="1">
      <c r="A116" s="3" t="s">
        <v>54</v>
      </c>
      <c r="B116" s="2" t="s">
        <v>55</v>
      </c>
      <c r="E116" s="104"/>
    </row>
    <row r="117" spans="1:7">
      <c r="E117" s="104"/>
    </row>
    <row r="118" spans="1:7">
      <c r="B118" s="2" t="s">
        <v>56</v>
      </c>
      <c r="C118" s="1">
        <f>(36.8+13.6+23.6)*1.05+1.3-25</f>
        <v>54</v>
      </c>
      <c r="E118" s="101">
        <v>0</v>
      </c>
      <c r="G118" s="69">
        <f t="shared" si="0"/>
        <v>0</v>
      </c>
    </row>
    <row r="119" spans="1:7">
      <c r="E119" s="104"/>
    </row>
    <row r="120" spans="1:7" ht="60">
      <c r="A120" s="3" t="s">
        <v>57</v>
      </c>
      <c r="B120" s="10" t="s">
        <v>44</v>
      </c>
      <c r="E120" s="104"/>
    </row>
    <row r="121" spans="1:7">
      <c r="E121" s="104"/>
    </row>
    <row r="122" spans="1:7">
      <c r="B122" s="2" t="s">
        <v>45</v>
      </c>
      <c r="C122" s="1">
        <f>(23*1.7*1.7+12*1.1*1.7+6*1.7*1.7+8*1.7*1.7+1.7*1.7*15+1.1*1.7*15)*1.05+1.19-77</f>
        <v>134.99850000000001</v>
      </c>
      <c r="E122" s="101">
        <v>0</v>
      </c>
      <c r="G122" s="69">
        <f t="shared" si="0"/>
        <v>0</v>
      </c>
    </row>
    <row r="123" spans="1:7">
      <c r="E123" s="104"/>
    </row>
    <row r="124" spans="1:7" ht="45">
      <c r="A124" s="3" t="s">
        <v>58</v>
      </c>
      <c r="B124" s="2" t="s">
        <v>60</v>
      </c>
      <c r="E124" s="104"/>
    </row>
    <row r="125" spans="1:7">
      <c r="E125" s="104"/>
    </row>
    <row r="126" spans="1:7">
      <c r="B126" s="2" t="s">
        <v>59</v>
      </c>
      <c r="C126" s="1">
        <v>1</v>
      </c>
      <c r="E126" s="101">
        <v>0</v>
      </c>
      <c r="G126" s="69">
        <f t="shared" si="0"/>
        <v>0</v>
      </c>
    </row>
    <row r="127" spans="1:7">
      <c r="E127" s="104"/>
    </row>
    <row r="128" spans="1:7" ht="30">
      <c r="A128" s="3" t="s">
        <v>61</v>
      </c>
      <c r="B128" s="2" t="s">
        <v>62</v>
      </c>
      <c r="E128" s="104"/>
    </row>
    <row r="129" spans="1:7">
      <c r="E129" s="104"/>
    </row>
    <row r="130" spans="1:7">
      <c r="B130" s="2" t="s">
        <v>63</v>
      </c>
      <c r="C130" s="1">
        <v>1</v>
      </c>
      <c r="E130" s="101">
        <v>0</v>
      </c>
      <c r="G130" s="69">
        <f t="shared" si="0"/>
        <v>0</v>
      </c>
    </row>
    <row r="131" spans="1:7">
      <c r="E131" s="104"/>
    </row>
    <row r="132" spans="1:7" ht="90" customHeight="1">
      <c r="A132" s="3" t="s">
        <v>64</v>
      </c>
      <c r="B132" s="17" t="s">
        <v>65</v>
      </c>
      <c r="E132" s="104"/>
    </row>
    <row r="133" spans="1:7">
      <c r="E133" s="104"/>
    </row>
    <row r="134" spans="1:7">
      <c r="B134" s="2" t="s">
        <v>56</v>
      </c>
      <c r="C134" s="1">
        <f>(35.8+12.6+23.6)*1.05+1.4-25</f>
        <v>52.000000000000014</v>
      </c>
      <c r="E134" s="101">
        <v>0</v>
      </c>
      <c r="G134" s="69">
        <f t="shared" si="0"/>
        <v>0</v>
      </c>
    </row>
    <row r="135" spans="1:7" ht="75">
      <c r="A135" s="3" t="s">
        <v>66</v>
      </c>
      <c r="B135" s="2" t="s">
        <v>67</v>
      </c>
      <c r="E135" s="104"/>
    </row>
    <row r="136" spans="1:7">
      <c r="E136" s="104"/>
    </row>
    <row r="137" spans="1:7">
      <c r="B137" s="2" t="s">
        <v>59</v>
      </c>
      <c r="C137" s="1">
        <f>'Poljanski nasip 12-ulična'!C135</f>
        <v>176.99500000000006</v>
      </c>
      <c r="E137" s="101">
        <v>0</v>
      </c>
      <c r="G137" s="69">
        <f t="shared" si="0"/>
        <v>0</v>
      </c>
    </row>
    <row r="138" spans="1:7">
      <c r="E138" s="104"/>
    </row>
    <row r="139" spans="1:7" ht="30" customHeight="1">
      <c r="A139" s="3" t="s">
        <v>68</v>
      </c>
      <c r="B139" s="2" t="s">
        <v>47</v>
      </c>
      <c r="E139" s="104"/>
    </row>
    <row r="140" spans="1:7">
      <c r="E140" s="104"/>
    </row>
    <row r="141" spans="1:7">
      <c r="B141" s="2" t="s">
        <v>45</v>
      </c>
      <c r="C141" s="1">
        <f>((35.8+12.6)*16.5+23.6*15.2+18)*1.05-0.09-396</f>
        <v>837.99600000000032</v>
      </c>
      <c r="E141" s="101">
        <v>0</v>
      </c>
      <c r="G141" s="69">
        <f t="shared" si="0"/>
        <v>0</v>
      </c>
    </row>
    <row r="142" spans="1:7">
      <c r="E142" s="104"/>
    </row>
    <row r="143" spans="1:7" ht="105">
      <c r="A143" s="3" t="s">
        <v>69</v>
      </c>
      <c r="B143" s="2" t="s">
        <v>72</v>
      </c>
      <c r="E143" s="104"/>
    </row>
    <row r="144" spans="1:7">
      <c r="E144" s="104"/>
    </row>
    <row r="145" spans="1:7">
      <c r="B145" s="2" t="s">
        <v>45</v>
      </c>
      <c r="C145" s="1">
        <f>C141*0.6+0.2</f>
        <v>502.99760000000015</v>
      </c>
      <c r="E145" s="101">
        <v>0</v>
      </c>
      <c r="G145" s="69">
        <f t="shared" si="0"/>
        <v>0</v>
      </c>
    </row>
    <row r="146" spans="1:7">
      <c r="E146" s="104"/>
    </row>
    <row r="147" spans="1:7" ht="105" customHeight="1">
      <c r="A147" s="3" t="s">
        <v>70</v>
      </c>
      <c r="B147" s="2" t="s">
        <v>71</v>
      </c>
      <c r="E147" s="104"/>
    </row>
    <row r="148" spans="1:7">
      <c r="E148" s="104"/>
    </row>
    <row r="149" spans="1:7">
      <c r="B149" s="2" t="s">
        <v>45</v>
      </c>
      <c r="C149" s="1">
        <f>C141</f>
        <v>837.99600000000032</v>
      </c>
      <c r="E149" s="101">
        <v>0</v>
      </c>
      <c r="G149" s="69">
        <f t="shared" si="0"/>
        <v>0</v>
      </c>
    </row>
    <row r="150" spans="1:7">
      <c r="E150" s="104"/>
    </row>
    <row r="151" spans="1:7" ht="75">
      <c r="A151" s="3" t="s">
        <v>73</v>
      </c>
      <c r="B151" s="2" t="s">
        <v>75</v>
      </c>
      <c r="E151" s="104"/>
    </row>
    <row r="152" spans="1:7">
      <c r="E152" s="104"/>
    </row>
    <row r="153" spans="1:7">
      <c r="B153" s="2" t="s">
        <v>45</v>
      </c>
      <c r="C153" s="1">
        <f>C145</f>
        <v>502.99760000000015</v>
      </c>
      <c r="E153" s="101">
        <v>0</v>
      </c>
      <c r="G153" s="69">
        <f t="shared" si="0"/>
        <v>0</v>
      </c>
    </row>
    <row r="154" spans="1:7">
      <c r="E154" s="104"/>
    </row>
    <row r="155" spans="1:7" ht="60">
      <c r="A155" s="3" t="s">
        <v>76</v>
      </c>
      <c r="B155" s="2" t="s">
        <v>83</v>
      </c>
      <c r="E155" s="104"/>
    </row>
    <row r="156" spans="1:7">
      <c r="E156" s="104"/>
    </row>
    <row r="157" spans="1:7">
      <c r="B157" s="2" t="s">
        <v>45</v>
      </c>
      <c r="C157" s="1">
        <f>C149</f>
        <v>837.99600000000032</v>
      </c>
      <c r="E157" s="101">
        <v>0</v>
      </c>
      <c r="G157" s="69">
        <f t="shared" si="0"/>
        <v>0</v>
      </c>
    </row>
    <row r="158" spans="1:7">
      <c r="E158" s="104"/>
    </row>
    <row r="159" spans="1:7" ht="45">
      <c r="A159" s="3" t="s">
        <v>77</v>
      </c>
      <c r="B159" s="2" t="s">
        <v>90</v>
      </c>
      <c r="E159" s="104"/>
    </row>
    <row r="160" spans="1:7">
      <c r="E160" s="104"/>
    </row>
    <row r="161" spans="1:7">
      <c r="B161" s="2" t="s">
        <v>45</v>
      </c>
      <c r="C161" s="1">
        <f>C149</f>
        <v>837.99600000000032</v>
      </c>
      <c r="E161" s="101">
        <v>0</v>
      </c>
      <c r="G161" s="69">
        <f t="shared" si="0"/>
        <v>0</v>
      </c>
    </row>
    <row r="162" spans="1:7">
      <c r="E162" s="104"/>
    </row>
    <row r="163" spans="1:7" ht="45">
      <c r="A163" s="3" t="s">
        <v>78</v>
      </c>
      <c r="B163" s="2" t="s">
        <v>89</v>
      </c>
      <c r="E163" s="104"/>
    </row>
    <row r="164" spans="1:7">
      <c r="E164" s="104"/>
    </row>
    <row r="165" spans="1:7">
      <c r="B165" s="2" t="s">
        <v>45</v>
      </c>
      <c r="C165" s="1">
        <f>C134</f>
        <v>52.000000000000014</v>
      </c>
      <c r="E165" s="101">
        <v>0</v>
      </c>
      <c r="G165" s="69">
        <f t="shared" si="0"/>
        <v>0</v>
      </c>
    </row>
    <row r="166" spans="1:7">
      <c r="E166" s="104"/>
    </row>
    <row r="167" spans="1:7" ht="75">
      <c r="A167" s="3" t="s">
        <v>80</v>
      </c>
      <c r="B167" s="2" t="s">
        <v>81</v>
      </c>
      <c r="E167" s="104"/>
    </row>
    <row r="168" spans="1:7">
      <c r="E168" s="104"/>
    </row>
    <row r="169" spans="1:7">
      <c r="E169" s="104"/>
    </row>
    <row r="170" spans="1:7">
      <c r="E170" s="104"/>
    </row>
    <row r="171" spans="1:7">
      <c r="E171" s="104"/>
    </row>
    <row r="172" spans="1:7">
      <c r="E172" s="104"/>
    </row>
    <row r="173" spans="1:7">
      <c r="E173" s="104"/>
    </row>
    <row r="174" spans="1:7">
      <c r="E174" s="104"/>
    </row>
    <row r="175" spans="1:7">
      <c r="E175" s="104"/>
    </row>
    <row r="176" spans="1:7">
      <c r="E176" s="104"/>
    </row>
    <row r="177" spans="1:7">
      <c r="E177" s="104"/>
    </row>
    <row r="178" spans="1:7">
      <c r="E178" s="104"/>
    </row>
    <row r="179" spans="1:7" ht="8.25" customHeight="1">
      <c r="E179" s="104"/>
    </row>
    <row r="180" spans="1:7" ht="8.25" customHeight="1">
      <c r="E180" s="104"/>
    </row>
    <row r="181" spans="1:7" ht="12" customHeight="1">
      <c r="E181" s="104"/>
    </row>
    <row r="182" spans="1:7">
      <c r="B182" s="2" t="s">
        <v>56</v>
      </c>
      <c r="C182" s="1">
        <f>(35.8+12.6)*5</f>
        <v>242</v>
      </c>
      <c r="E182" s="101">
        <v>0</v>
      </c>
      <c r="G182" s="69">
        <f t="shared" ref="G182:G273" si="1">C182*E182</f>
        <v>0</v>
      </c>
    </row>
    <row r="183" spans="1:7">
      <c r="E183" s="104"/>
    </row>
    <row r="184" spans="1:7" ht="45.75" customHeight="1">
      <c r="A184" s="3" t="s">
        <v>82</v>
      </c>
      <c r="B184" s="2" t="s">
        <v>79</v>
      </c>
      <c r="E184" s="104"/>
    </row>
    <row r="185" spans="1:7" ht="7.5" customHeight="1">
      <c r="E185" s="104"/>
    </row>
    <row r="186" spans="1:7">
      <c r="E186" s="104"/>
    </row>
    <row r="187" spans="1:7">
      <c r="E187" s="104"/>
    </row>
    <row r="188" spans="1:7">
      <c r="E188" s="104"/>
    </row>
    <row r="189" spans="1:7">
      <c r="E189" s="104"/>
    </row>
    <row r="190" spans="1:7">
      <c r="E190" s="104"/>
    </row>
    <row r="191" spans="1:7">
      <c r="E191" s="104"/>
    </row>
    <row r="192" spans="1:7">
      <c r="E192" s="104"/>
    </row>
    <row r="193" spans="1:7">
      <c r="E193" s="104"/>
    </row>
    <row r="194" spans="1:7">
      <c r="E194" s="104"/>
    </row>
    <row r="195" spans="1:7">
      <c r="E195" s="104"/>
    </row>
    <row r="196" spans="1:7">
      <c r="E196" s="104"/>
    </row>
    <row r="197" spans="1:7">
      <c r="E197" s="104"/>
    </row>
    <row r="198" spans="1:7">
      <c r="E198" s="104"/>
    </row>
    <row r="199" spans="1:7" ht="8.25" customHeight="1">
      <c r="E199" s="104"/>
    </row>
    <row r="200" spans="1:7">
      <c r="B200" s="2" t="s">
        <v>56</v>
      </c>
      <c r="C200" s="1">
        <f>C165</f>
        <v>52.000000000000014</v>
      </c>
      <c r="E200" s="101">
        <v>0</v>
      </c>
      <c r="G200" s="69">
        <f t="shared" si="1"/>
        <v>0</v>
      </c>
    </row>
    <row r="201" spans="1:7">
      <c r="E201" s="104"/>
    </row>
    <row r="202" spans="1:7" ht="45">
      <c r="A202" s="3" t="s">
        <v>84</v>
      </c>
      <c r="B202" s="2" t="s">
        <v>101</v>
      </c>
      <c r="E202" s="104"/>
    </row>
    <row r="203" spans="1:7">
      <c r="E203" s="104"/>
    </row>
    <row r="204" spans="1:7">
      <c r="E204" s="104"/>
    </row>
    <row r="205" spans="1:7">
      <c r="E205" s="104"/>
    </row>
    <row r="206" spans="1:7">
      <c r="E206" s="104"/>
    </row>
    <row r="207" spans="1:7">
      <c r="E207" s="104"/>
    </row>
    <row r="208" spans="1:7">
      <c r="E208" s="104"/>
    </row>
    <row r="209" spans="1:7">
      <c r="E209" s="104"/>
    </row>
    <row r="210" spans="1:7">
      <c r="E210" s="104"/>
    </row>
    <row r="211" spans="1:7">
      <c r="E211" s="104"/>
    </row>
    <row r="212" spans="1:7">
      <c r="E212" s="104"/>
    </row>
    <row r="213" spans="1:7">
      <c r="E213" s="104"/>
    </row>
    <row r="214" spans="1:7">
      <c r="E214" s="104"/>
    </row>
    <row r="215" spans="1:7">
      <c r="E215" s="104"/>
    </row>
    <row r="216" spans="1:7">
      <c r="E216" s="104"/>
    </row>
    <row r="217" spans="1:7">
      <c r="E217" s="104"/>
    </row>
    <row r="218" spans="1:7">
      <c r="B218" s="2" t="s">
        <v>56</v>
      </c>
      <c r="C218" s="1">
        <f>C200</f>
        <v>52.000000000000014</v>
      </c>
      <c r="E218" s="101">
        <v>0</v>
      </c>
      <c r="G218" s="69">
        <f t="shared" si="1"/>
        <v>0</v>
      </c>
    </row>
    <row r="219" spans="1:7">
      <c r="E219" s="104"/>
    </row>
    <row r="220" spans="1:7" ht="60.75" customHeight="1">
      <c r="A220" s="3" t="s">
        <v>85</v>
      </c>
      <c r="B220" s="2" t="s">
        <v>87</v>
      </c>
      <c r="E220" s="104"/>
    </row>
    <row r="221" spans="1:7">
      <c r="E221" s="104"/>
    </row>
    <row r="222" spans="1:7">
      <c r="E222" s="104"/>
    </row>
    <row r="223" spans="1:7">
      <c r="E223" s="104"/>
    </row>
    <row r="224" spans="1:7">
      <c r="E224" s="104"/>
    </row>
    <row r="225" spans="1:7">
      <c r="E225" s="104"/>
    </row>
    <row r="226" spans="1:7">
      <c r="E226" s="104"/>
    </row>
    <row r="227" spans="1:7">
      <c r="E227" s="104"/>
    </row>
    <row r="228" spans="1:7">
      <c r="E228" s="104"/>
    </row>
    <row r="229" spans="1:7">
      <c r="E229" s="104"/>
    </row>
    <row r="230" spans="1:7">
      <c r="E230" s="104"/>
    </row>
    <row r="231" spans="1:7">
      <c r="E231" s="104"/>
    </row>
    <row r="232" spans="1:7">
      <c r="E232" s="104"/>
    </row>
    <row r="233" spans="1:7">
      <c r="B233" s="2" t="s">
        <v>56</v>
      </c>
      <c r="C233" s="1">
        <f>23*1.9+8*1.9+12*2.2+6*2*2.5+9*1.9+18*1.3-52+0.2</f>
        <v>104.00000000000001</v>
      </c>
      <c r="E233" s="101">
        <v>0</v>
      </c>
      <c r="G233" s="69">
        <f t="shared" si="1"/>
        <v>0</v>
      </c>
    </row>
    <row r="234" spans="1:7">
      <c r="E234" s="104"/>
    </row>
    <row r="235" spans="1:7" ht="45">
      <c r="A235" s="3" t="s">
        <v>86</v>
      </c>
      <c r="B235" s="2" t="s">
        <v>189</v>
      </c>
      <c r="E235" s="104"/>
    </row>
    <row r="236" spans="1:7">
      <c r="E236" s="104"/>
    </row>
    <row r="237" spans="1:7">
      <c r="E237" s="104"/>
    </row>
    <row r="238" spans="1:7">
      <c r="E238" s="104"/>
    </row>
    <row r="239" spans="1:7">
      <c r="E239" s="104"/>
    </row>
    <row r="240" spans="1:7">
      <c r="E240" s="104"/>
    </row>
    <row r="241" spans="1:7">
      <c r="E241" s="104"/>
    </row>
    <row r="242" spans="1:7">
      <c r="E242" s="104"/>
    </row>
    <row r="243" spans="1:7">
      <c r="E243" s="104"/>
    </row>
    <row r="244" spans="1:7">
      <c r="E244" s="104"/>
    </row>
    <row r="245" spans="1:7">
      <c r="E245" s="104"/>
    </row>
    <row r="246" spans="1:7">
      <c r="E246" s="104"/>
    </row>
    <row r="247" spans="1:7">
      <c r="E247" s="104"/>
    </row>
    <row r="248" spans="1:7">
      <c r="E248" s="104"/>
    </row>
    <row r="249" spans="1:7">
      <c r="B249" s="2" t="s">
        <v>45</v>
      </c>
      <c r="C249" s="1">
        <f>2*1.7*3.14*0.3</f>
        <v>3.2027999999999999</v>
      </c>
      <c r="E249" s="101">
        <v>0</v>
      </c>
      <c r="G249" s="69">
        <f>C249*E249</f>
        <v>0</v>
      </c>
    </row>
    <row r="250" spans="1:7">
      <c r="E250" s="104"/>
    </row>
    <row r="251" spans="1:7" ht="45">
      <c r="A251" s="3" t="s">
        <v>91</v>
      </c>
      <c r="B251" s="2" t="s">
        <v>88</v>
      </c>
      <c r="E251" s="104"/>
    </row>
    <row r="252" spans="1:7">
      <c r="E252" s="104"/>
    </row>
    <row r="253" spans="1:7">
      <c r="B253" s="2" t="s">
        <v>56</v>
      </c>
      <c r="C253" s="1">
        <f>C182+C200</f>
        <v>294</v>
      </c>
      <c r="E253" s="101">
        <v>0</v>
      </c>
      <c r="G253" s="69">
        <f t="shared" si="1"/>
        <v>0</v>
      </c>
    </row>
    <row r="254" spans="1:7">
      <c r="E254" s="104"/>
    </row>
    <row r="255" spans="1:7" ht="30">
      <c r="A255" s="3" t="s">
        <v>92</v>
      </c>
      <c r="B255" s="2" t="s">
        <v>102</v>
      </c>
      <c r="E255" s="104"/>
    </row>
    <row r="256" spans="1:7">
      <c r="E256" s="104"/>
    </row>
    <row r="257" spans="1:7">
      <c r="B257" s="2" t="s">
        <v>56</v>
      </c>
      <c r="C257" s="1">
        <f>C218</f>
        <v>52.000000000000014</v>
      </c>
      <c r="E257" s="101">
        <v>0</v>
      </c>
      <c r="G257" s="69">
        <f t="shared" si="1"/>
        <v>0</v>
      </c>
    </row>
    <row r="258" spans="1:7" ht="7.5" customHeight="1">
      <c r="E258" s="104"/>
    </row>
    <row r="259" spans="1:7">
      <c r="A259" s="3" t="s">
        <v>93</v>
      </c>
      <c r="B259" s="2" t="s">
        <v>103</v>
      </c>
      <c r="E259" s="104"/>
    </row>
    <row r="260" spans="1:7">
      <c r="E260" s="104"/>
    </row>
    <row r="261" spans="1:7">
      <c r="B261" s="2" t="s">
        <v>56</v>
      </c>
      <c r="C261" s="1">
        <f>C233</f>
        <v>104.00000000000001</v>
      </c>
      <c r="E261" s="101">
        <v>0</v>
      </c>
      <c r="G261" s="69">
        <f t="shared" si="1"/>
        <v>0</v>
      </c>
    </row>
    <row r="262" spans="1:7">
      <c r="E262" s="104"/>
    </row>
    <row r="263" spans="1:7" ht="60" customHeight="1">
      <c r="A263" s="3" t="s">
        <v>95</v>
      </c>
      <c r="B263" s="2" t="s">
        <v>94</v>
      </c>
      <c r="E263" s="104"/>
    </row>
    <row r="264" spans="1:7">
      <c r="E264" s="104"/>
    </row>
    <row r="265" spans="1:7">
      <c r="B265" s="2" t="s">
        <v>63</v>
      </c>
      <c r="C265" s="1">
        <v>1</v>
      </c>
      <c r="E265" s="101">
        <v>0</v>
      </c>
      <c r="G265" s="69">
        <f t="shared" si="1"/>
        <v>0</v>
      </c>
    </row>
    <row r="266" spans="1:7">
      <c r="E266" s="104"/>
    </row>
    <row r="267" spans="1:7" ht="45">
      <c r="A267" s="3" t="s">
        <v>98</v>
      </c>
      <c r="B267" s="2" t="s">
        <v>96</v>
      </c>
      <c r="E267" s="104"/>
    </row>
    <row r="268" spans="1:7">
      <c r="E268" s="104"/>
    </row>
    <row r="269" spans="1:7">
      <c r="B269" s="2" t="s">
        <v>97</v>
      </c>
      <c r="C269" s="1">
        <f>C141*0.01*1.25+C153*0.03*1.25</f>
        <v>29.337360000000011</v>
      </c>
      <c r="E269" s="101">
        <v>0</v>
      </c>
      <c r="G269" s="69">
        <f t="shared" si="1"/>
        <v>0</v>
      </c>
    </row>
    <row r="270" spans="1:7">
      <c r="E270" s="104"/>
    </row>
    <row r="271" spans="1:7" ht="45">
      <c r="A271" s="3" t="s">
        <v>104</v>
      </c>
      <c r="B271" s="2" t="s">
        <v>99</v>
      </c>
      <c r="E271" s="104"/>
    </row>
    <row r="272" spans="1:7">
      <c r="E272" s="104"/>
    </row>
    <row r="273" spans="1:7">
      <c r="B273" s="2" t="s">
        <v>63</v>
      </c>
      <c r="C273" s="1">
        <v>1</v>
      </c>
      <c r="E273" s="101">
        <v>0</v>
      </c>
      <c r="G273" s="69">
        <f t="shared" si="1"/>
        <v>0</v>
      </c>
    </row>
    <row r="274" spans="1:7">
      <c r="E274" s="104"/>
    </row>
    <row r="275" spans="1:7" ht="15.75" thickBot="1">
      <c r="A275" s="79"/>
      <c r="B275" s="74" t="s">
        <v>100</v>
      </c>
      <c r="C275" s="75"/>
      <c r="D275" s="76"/>
      <c r="E275" s="103"/>
      <c r="F275" s="75" t="s">
        <v>41</v>
      </c>
      <c r="G275" s="75">
        <f>SUM(G98:G273)</f>
        <v>0</v>
      </c>
    </row>
    <row r="276" spans="1:7" ht="15.75" thickTop="1">
      <c r="E276" s="104"/>
    </row>
    <row r="277" spans="1:7">
      <c r="A277" s="5" t="s">
        <v>105</v>
      </c>
      <c r="B277" s="6" t="s">
        <v>106</v>
      </c>
      <c r="E277" s="104"/>
    </row>
    <row r="278" spans="1:7">
      <c r="E278" s="104"/>
    </row>
    <row r="279" spans="1:7" ht="105">
      <c r="A279" s="3" t="s">
        <v>19</v>
      </c>
      <c r="B279" s="22" t="s">
        <v>107</v>
      </c>
      <c r="E279" s="104"/>
    </row>
    <row r="280" spans="1:7">
      <c r="E280" s="104"/>
    </row>
    <row r="281" spans="1:7">
      <c r="B281" s="2" t="s">
        <v>63</v>
      </c>
      <c r="C281" s="1">
        <v>1</v>
      </c>
      <c r="E281" s="101">
        <v>0</v>
      </c>
      <c r="G281" s="69">
        <f>C281*E281</f>
        <v>0</v>
      </c>
    </row>
    <row r="282" spans="1:7">
      <c r="E282" s="104"/>
    </row>
    <row r="283" spans="1:7" ht="15.75" thickBot="1">
      <c r="A283" s="79"/>
      <c r="B283" s="74" t="s">
        <v>108</v>
      </c>
      <c r="C283" s="75"/>
      <c r="D283" s="76"/>
      <c r="E283" s="103"/>
      <c r="F283" s="75" t="s">
        <v>41</v>
      </c>
      <c r="G283" s="75">
        <f>SUM(G277:G282)</f>
        <v>0</v>
      </c>
    </row>
    <row r="284" spans="1:7" ht="15.75" thickTop="1">
      <c r="E284" s="104"/>
    </row>
    <row r="285" spans="1:7">
      <c r="A285" s="5" t="s">
        <v>109</v>
      </c>
      <c r="B285" s="6" t="s">
        <v>110</v>
      </c>
      <c r="E285" s="104"/>
    </row>
    <row r="286" spans="1:7">
      <c r="A286" s="5"/>
      <c r="B286" s="6"/>
      <c r="E286" s="104"/>
    </row>
    <row r="287" spans="1:7" ht="105">
      <c r="A287" s="23" t="s">
        <v>111</v>
      </c>
      <c r="B287" s="24" t="s">
        <v>112</v>
      </c>
      <c r="E287" s="104"/>
    </row>
    <row r="288" spans="1:7">
      <c r="A288" s="5"/>
      <c r="B288" s="6"/>
      <c r="E288" s="104"/>
    </row>
    <row r="289" spans="1:7" ht="60">
      <c r="A289" s="3" t="s">
        <v>19</v>
      </c>
      <c r="B289" s="2" t="s">
        <v>113</v>
      </c>
      <c r="E289" s="104"/>
    </row>
    <row r="290" spans="1:7">
      <c r="E290" s="104"/>
    </row>
    <row r="291" spans="1:7">
      <c r="A291" s="3" t="s">
        <v>114</v>
      </c>
      <c r="B291" s="2" t="s">
        <v>118</v>
      </c>
      <c r="C291" s="1">
        <f>((35.8+12.6+23.6)*4+12*2.1+15*1.9+6*1.9+6*1.9+9*1.9+12*1.3)*1.05+1.94-138</f>
        <v>281</v>
      </c>
      <c r="E291" s="101">
        <v>0</v>
      </c>
      <c r="G291" s="69">
        <f>C291*E291</f>
        <v>0</v>
      </c>
    </row>
    <row r="292" spans="1:7">
      <c r="E292" s="104"/>
    </row>
    <row r="293" spans="1:7">
      <c r="A293" s="3" t="s">
        <v>115</v>
      </c>
      <c r="B293" s="2" t="s">
        <v>119</v>
      </c>
      <c r="C293" s="1">
        <f>C257</f>
        <v>52.000000000000014</v>
      </c>
      <c r="E293" s="101">
        <v>0</v>
      </c>
      <c r="G293" s="69">
        <f t="shared" ref="G293:G323" si="2">C293*E293</f>
        <v>0</v>
      </c>
    </row>
    <row r="294" spans="1:7">
      <c r="E294" s="104"/>
    </row>
    <row r="295" spans="1:7">
      <c r="A295" s="3" t="s">
        <v>116</v>
      </c>
      <c r="B295" s="2" t="s">
        <v>120</v>
      </c>
      <c r="C295" s="1">
        <f>(35.8+12.6)*1.05+0.18</f>
        <v>51</v>
      </c>
      <c r="E295" s="101">
        <v>0</v>
      </c>
      <c r="G295" s="69">
        <f t="shared" si="2"/>
        <v>0</v>
      </c>
    </row>
    <row r="296" spans="1:7">
      <c r="E296" s="104"/>
    </row>
    <row r="297" spans="1:7" ht="60">
      <c r="A297" s="3" t="s">
        <v>46</v>
      </c>
      <c r="B297" s="2" t="s">
        <v>132</v>
      </c>
      <c r="E297" s="104"/>
    </row>
    <row r="298" spans="1:7">
      <c r="E298" s="104"/>
    </row>
    <row r="299" spans="1:7">
      <c r="B299" s="2" t="s">
        <v>56</v>
      </c>
      <c r="C299" s="1">
        <v>0</v>
      </c>
      <c r="E299" s="101">
        <v>0</v>
      </c>
      <c r="G299" s="69">
        <f t="shared" si="2"/>
        <v>0</v>
      </c>
    </row>
    <row r="300" spans="1:7">
      <c r="E300" s="104"/>
    </row>
    <row r="301" spans="1:7">
      <c r="A301" s="3" t="s">
        <v>50</v>
      </c>
      <c r="B301" s="2" t="s">
        <v>117</v>
      </c>
      <c r="E301" s="104"/>
    </row>
    <row r="302" spans="1:7">
      <c r="E302" s="104"/>
    </row>
    <row r="303" spans="1:7">
      <c r="A303" s="3" t="s">
        <v>114</v>
      </c>
      <c r="B303" s="2" t="s">
        <v>118</v>
      </c>
      <c r="C303" s="1">
        <f>C291</f>
        <v>281</v>
      </c>
      <c r="E303" s="101">
        <v>0</v>
      </c>
      <c r="G303" s="69">
        <f t="shared" si="2"/>
        <v>0</v>
      </c>
    </row>
    <row r="304" spans="1:7">
      <c r="E304" s="104"/>
    </row>
    <row r="305" spans="1:7">
      <c r="A305" s="3" t="s">
        <v>115</v>
      </c>
      <c r="B305" s="2" t="s">
        <v>119</v>
      </c>
      <c r="C305" s="1">
        <f>C293</f>
        <v>52.000000000000014</v>
      </c>
      <c r="E305" s="101">
        <v>0</v>
      </c>
      <c r="G305" s="69">
        <f t="shared" si="2"/>
        <v>0</v>
      </c>
    </row>
    <row r="306" spans="1:7">
      <c r="E306" s="104"/>
    </row>
    <row r="307" spans="1:7">
      <c r="A307" s="3" t="s">
        <v>116</v>
      </c>
      <c r="B307" s="2" t="s">
        <v>120</v>
      </c>
      <c r="C307" s="1">
        <f>C295</f>
        <v>51</v>
      </c>
      <c r="E307" s="101">
        <v>0</v>
      </c>
      <c r="G307" s="69">
        <f t="shared" si="2"/>
        <v>0</v>
      </c>
    </row>
    <row r="308" spans="1:7">
      <c r="E308" s="104"/>
    </row>
    <row r="309" spans="1:7" ht="45">
      <c r="A309" s="3" t="s">
        <v>52</v>
      </c>
      <c r="B309" s="2" t="s">
        <v>121</v>
      </c>
      <c r="E309" s="104"/>
    </row>
    <row r="310" spans="1:7">
      <c r="E310" s="104"/>
    </row>
    <row r="311" spans="1:7">
      <c r="B311" s="2" t="s">
        <v>45</v>
      </c>
      <c r="C311" s="1">
        <f>(2*0.8)*1.05+0.03-0.01</f>
        <v>1.7000000000000002</v>
      </c>
      <c r="E311" s="101">
        <v>0</v>
      </c>
      <c r="G311" s="69">
        <f t="shared" si="2"/>
        <v>0</v>
      </c>
    </row>
    <row r="312" spans="1:7">
      <c r="E312" s="104"/>
    </row>
    <row r="313" spans="1:7" ht="45">
      <c r="A313" s="3" t="s">
        <v>54</v>
      </c>
      <c r="B313" s="2" t="s">
        <v>133</v>
      </c>
      <c r="E313" s="104"/>
    </row>
    <row r="314" spans="1:7">
      <c r="E314" s="104"/>
    </row>
    <row r="315" spans="1:7">
      <c r="B315" s="2" t="s">
        <v>56</v>
      </c>
      <c r="C315" s="1">
        <v>0</v>
      </c>
      <c r="E315" s="101">
        <v>0</v>
      </c>
      <c r="G315" s="69">
        <f>C315*E315</f>
        <v>0</v>
      </c>
    </row>
    <row r="316" spans="1:7">
      <c r="E316" s="104"/>
    </row>
    <row r="317" spans="1:7">
      <c r="A317" s="3" t="s">
        <v>57</v>
      </c>
      <c r="B317" s="2" t="s">
        <v>190</v>
      </c>
      <c r="E317" s="104"/>
    </row>
    <row r="318" spans="1:7">
      <c r="E318" s="104"/>
    </row>
    <row r="319" spans="1:7">
      <c r="B319" s="2" t="s">
        <v>59</v>
      </c>
      <c r="C319" s="1">
        <v>0</v>
      </c>
      <c r="E319" s="101">
        <v>0</v>
      </c>
      <c r="G319" s="69">
        <f t="shared" si="2"/>
        <v>0</v>
      </c>
    </row>
    <row r="320" spans="1:7">
      <c r="E320" s="104"/>
    </row>
    <row r="321" spans="1:7" ht="60">
      <c r="A321" s="3" t="s">
        <v>58</v>
      </c>
      <c r="B321" s="2" t="s">
        <v>123</v>
      </c>
      <c r="E321" s="104"/>
    </row>
    <row r="322" spans="1:7">
      <c r="E322" s="104"/>
    </row>
    <row r="323" spans="1:7">
      <c r="B323" s="2" t="s">
        <v>56</v>
      </c>
      <c r="C323" s="1">
        <f>(C303+C305+C307)</f>
        <v>384</v>
      </c>
      <c r="E323" s="101">
        <v>0</v>
      </c>
      <c r="G323" s="69">
        <f t="shared" si="2"/>
        <v>0</v>
      </c>
    </row>
    <row r="324" spans="1:7">
      <c r="E324" s="104"/>
    </row>
    <row r="325" spans="1:7" ht="15.75" thickBot="1">
      <c r="A325" s="79"/>
      <c r="B325" s="74" t="s">
        <v>124</v>
      </c>
      <c r="C325" s="75"/>
      <c r="D325" s="76"/>
      <c r="E325" s="103"/>
      <c r="F325" s="75" t="s">
        <v>41</v>
      </c>
      <c r="G325" s="75">
        <f>SUM(G285:G324)</f>
        <v>0</v>
      </c>
    </row>
    <row r="326" spans="1:7" ht="15.75" thickTop="1">
      <c r="E326" s="104"/>
    </row>
    <row r="327" spans="1:7">
      <c r="A327" s="5" t="s">
        <v>125</v>
      </c>
      <c r="B327" s="6" t="s">
        <v>126</v>
      </c>
      <c r="C327" s="25"/>
      <c r="D327" s="30"/>
      <c r="E327" s="105"/>
      <c r="F327" s="25"/>
      <c r="G327" s="25"/>
    </row>
    <row r="328" spans="1:7">
      <c r="E328" s="104"/>
    </row>
    <row r="329" spans="1:7" ht="45">
      <c r="A329" s="3" t="s">
        <v>19</v>
      </c>
      <c r="B329" s="2" t="s">
        <v>127</v>
      </c>
      <c r="E329" s="104"/>
    </row>
    <row r="330" spans="1:7">
      <c r="E330" s="104"/>
    </row>
    <row r="331" spans="1:7">
      <c r="B331" s="2" t="s">
        <v>59</v>
      </c>
      <c r="C331" s="1">
        <v>1</v>
      </c>
      <c r="E331" s="101">
        <v>0</v>
      </c>
      <c r="G331" s="69">
        <f>C331*E331</f>
        <v>0</v>
      </c>
    </row>
    <row r="332" spans="1:7">
      <c r="E332" s="104"/>
    </row>
    <row r="333" spans="1:7" ht="60">
      <c r="A333" s="3" t="s">
        <v>46</v>
      </c>
      <c r="B333" s="2" t="s">
        <v>128</v>
      </c>
      <c r="E333" s="104"/>
    </row>
    <row r="334" spans="1:7">
      <c r="E334" s="104"/>
    </row>
    <row r="335" spans="1:7">
      <c r="E335" s="104"/>
    </row>
    <row r="336" spans="1:7">
      <c r="E336" s="104"/>
    </row>
    <row r="337" spans="1:7">
      <c r="E337" s="104"/>
    </row>
    <row r="338" spans="1:7">
      <c r="E338" s="104"/>
    </row>
    <row r="339" spans="1:7">
      <c r="E339" s="104"/>
    </row>
    <row r="340" spans="1:7">
      <c r="E340" s="104"/>
    </row>
    <row r="341" spans="1:7">
      <c r="E341" s="104"/>
    </row>
    <row r="342" spans="1:7">
      <c r="E342" s="104"/>
    </row>
    <row r="343" spans="1:7">
      <c r="E343" s="104"/>
    </row>
    <row r="344" spans="1:7">
      <c r="E344" s="104"/>
    </row>
    <row r="345" spans="1:7" ht="9" customHeight="1">
      <c r="E345" s="104"/>
    </row>
    <row r="346" spans="1:7">
      <c r="B346" s="2" t="s">
        <v>130</v>
      </c>
      <c r="D346" s="1"/>
      <c r="E346" s="104"/>
    </row>
    <row r="347" spans="1:7">
      <c r="E347" s="104"/>
    </row>
    <row r="348" spans="1:7">
      <c r="B348" s="2" t="s">
        <v>59</v>
      </c>
      <c r="C348" s="1">
        <v>13</v>
      </c>
      <c r="E348" s="101">
        <v>0</v>
      </c>
      <c r="G348" s="69">
        <f>C348*E348</f>
        <v>0</v>
      </c>
    </row>
    <row r="349" spans="1:7">
      <c r="E349" s="104"/>
    </row>
    <row r="350" spans="1:7" ht="15.75" thickBot="1">
      <c r="A350" s="79"/>
      <c r="B350" s="74" t="s">
        <v>129</v>
      </c>
      <c r="C350" s="75"/>
      <c r="D350" s="76"/>
      <c r="E350" s="103"/>
      <c r="F350" s="75" t="s">
        <v>41</v>
      </c>
      <c r="G350" s="75">
        <f>SUM(G327:G349)</f>
        <v>0</v>
      </c>
    </row>
    <row r="351" spans="1:7" ht="15.75" thickTop="1">
      <c r="E351" s="104"/>
    </row>
    <row r="352" spans="1:7">
      <c r="A352" s="5" t="s">
        <v>134</v>
      </c>
      <c r="B352" s="6" t="s">
        <v>135</v>
      </c>
      <c r="E352" s="104"/>
    </row>
    <row r="353" spans="1:7">
      <c r="E353" s="104"/>
    </row>
    <row r="354" spans="1:7" ht="60">
      <c r="A354" s="3" t="s">
        <v>111</v>
      </c>
      <c r="B354" s="2" t="s">
        <v>139</v>
      </c>
      <c r="E354" s="104"/>
    </row>
    <row r="355" spans="1:7">
      <c r="E355" s="104"/>
    </row>
    <row r="356" spans="1:7" ht="105">
      <c r="B356" s="2" t="s">
        <v>141</v>
      </c>
      <c r="E356" s="104"/>
    </row>
    <row r="357" spans="1:7">
      <c r="E357" s="104"/>
    </row>
    <row r="358" spans="1:7" ht="180">
      <c r="A358" s="3" t="s">
        <v>19</v>
      </c>
      <c r="B358" s="2" t="s">
        <v>138</v>
      </c>
      <c r="E358" s="104"/>
    </row>
    <row r="359" spans="1:7">
      <c r="E359" s="104"/>
    </row>
    <row r="360" spans="1:7">
      <c r="B360" s="2" t="s">
        <v>59</v>
      </c>
      <c r="C360" s="1">
        <v>1</v>
      </c>
      <c r="E360" s="101">
        <v>0</v>
      </c>
      <c r="G360" s="69">
        <f>C360*E360</f>
        <v>0</v>
      </c>
    </row>
    <row r="361" spans="1:7">
      <c r="E361" s="104"/>
    </row>
    <row r="362" spans="1:7" ht="45">
      <c r="A362" s="3" t="s">
        <v>46</v>
      </c>
      <c r="B362" s="2" t="s">
        <v>142</v>
      </c>
      <c r="E362" s="104"/>
    </row>
    <row r="363" spans="1:7">
      <c r="E363" s="104"/>
    </row>
    <row r="364" spans="1:7">
      <c r="A364" s="3" t="s">
        <v>114</v>
      </c>
      <c r="B364" s="2" t="s">
        <v>143</v>
      </c>
      <c r="C364" s="1">
        <v>10</v>
      </c>
      <c r="E364" s="101">
        <v>0</v>
      </c>
      <c r="G364" s="69">
        <f t="shared" ref="G364:G376" si="3">C364*E364</f>
        <v>0</v>
      </c>
    </row>
    <row r="365" spans="1:7">
      <c r="E365" s="104"/>
    </row>
    <row r="366" spans="1:7">
      <c r="A366" s="3" t="s">
        <v>115</v>
      </c>
      <c r="B366" s="2" t="s">
        <v>144</v>
      </c>
      <c r="C366" s="1">
        <f>(8+29)*0.8+0.4</f>
        <v>30</v>
      </c>
      <c r="E366" s="101">
        <v>0</v>
      </c>
      <c r="G366" s="69">
        <f t="shared" si="3"/>
        <v>0</v>
      </c>
    </row>
    <row r="367" spans="1:7">
      <c r="E367" s="104"/>
    </row>
    <row r="368" spans="1:7" ht="45">
      <c r="A368" s="3" t="s">
        <v>50</v>
      </c>
      <c r="B368" s="2" t="s">
        <v>192</v>
      </c>
      <c r="E368" s="104"/>
    </row>
    <row r="369" spans="1:7">
      <c r="E369" s="104"/>
    </row>
    <row r="370" spans="1:7">
      <c r="B370" s="2" t="s">
        <v>59</v>
      </c>
      <c r="C370" s="1">
        <v>10</v>
      </c>
      <c r="E370" s="101">
        <v>0</v>
      </c>
      <c r="G370" s="69">
        <f>C370*E370</f>
        <v>0</v>
      </c>
    </row>
    <row r="371" spans="1:7">
      <c r="E371" s="104"/>
    </row>
    <row r="372" spans="1:7" ht="210">
      <c r="A372" s="3" t="s">
        <v>52</v>
      </c>
      <c r="B372" s="2" t="s">
        <v>191</v>
      </c>
      <c r="E372" s="104"/>
    </row>
    <row r="373" spans="1:7">
      <c r="E373" s="104"/>
    </row>
    <row r="374" spans="1:7">
      <c r="A374" s="3" t="s">
        <v>114</v>
      </c>
      <c r="B374" s="2" t="s">
        <v>146</v>
      </c>
      <c r="C374" s="1">
        <f>C364</f>
        <v>10</v>
      </c>
      <c r="E374" s="101">
        <v>0</v>
      </c>
      <c r="G374" s="69">
        <f t="shared" si="3"/>
        <v>0</v>
      </c>
    </row>
    <row r="375" spans="1:7">
      <c r="E375" s="104"/>
    </row>
    <row r="376" spans="1:7">
      <c r="A376" s="3" t="s">
        <v>115</v>
      </c>
      <c r="B376" s="2" t="s">
        <v>147</v>
      </c>
      <c r="C376" s="1">
        <f>C366</f>
        <v>30</v>
      </c>
      <c r="E376" s="101">
        <v>0</v>
      </c>
      <c r="G376" s="69">
        <f t="shared" si="3"/>
        <v>0</v>
      </c>
    </row>
    <row r="377" spans="1:7">
      <c r="E377" s="104"/>
    </row>
    <row r="378" spans="1:7" ht="210">
      <c r="A378" s="3" t="s">
        <v>54</v>
      </c>
      <c r="B378" s="17" t="s">
        <v>149</v>
      </c>
      <c r="C378" s="31"/>
      <c r="D378" s="26"/>
      <c r="E378" s="106"/>
      <c r="F378" s="33"/>
      <c r="G378" s="32"/>
    </row>
    <row r="379" spans="1:7" ht="6" customHeight="1">
      <c r="B379" s="17"/>
      <c r="C379" s="31"/>
      <c r="D379" s="26"/>
      <c r="E379" s="106"/>
      <c r="F379" s="33"/>
      <c r="G379" s="32"/>
    </row>
    <row r="380" spans="1:7">
      <c r="B380" s="17"/>
      <c r="C380" s="31"/>
      <c r="D380" s="26"/>
      <c r="E380" s="106"/>
      <c r="F380" s="33"/>
      <c r="G380" s="32"/>
    </row>
    <row r="381" spans="1:7">
      <c r="B381" s="17"/>
      <c r="C381" s="31"/>
      <c r="D381" s="26"/>
      <c r="E381" s="106"/>
      <c r="F381" s="33"/>
      <c r="G381" s="32"/>
    </row>
    <row r="382" spans="1:7">
      <c r="B382" s="17"/>
      <c r="C382" s="31"/>
      <c r="D382" s="26"/>
      <c r="E382" s="106"/>
      <c r="F382" s="33"/>
      <c r="G382" s="32"/>
    </row>
    <row r="383" spans="1:7">
      <c r="B383" s="17"/>
      <c r="C383" s="31"/>
      <c r="D383" s="26"/>
      <c r="E383" s="106"/>
      <c r="F383" s="33"/>
      <c r="G383" s="32"/>
    </row>
    <row r="384" spans="1:7">
      <c r="B384" s="17"/>
      <c r="C384" s="31"/>
      <c r="D384" s="26"/>
      <c r="E384" s="106"/>
      <c r="F384" s="33"/>
      <c r="G384" s="32"/>
    </row>
    <row r="385" spans="2:7">
      <c r="B385" s="17"/>
      <c r="C385" s="31"/>
      <c r="D385" s="26"/>
      <c r="E385" s="106"/>
      <c r="F385" s="33"/>
      <c r="G385" s="32"/>
    </row>
    <row r="386" spans="2:7">
      <c r="B386" s="17"/>
      <c r="C386" s="31"/>
      <c r="D386" s="26"/>
      <c r="E386" s="106"/>
      <c r="F386" s="33"/>
      <c r="G386" s="32"/>
    </row>
    <row r="387" spans="2:7">
      <c r="B387" s="17"/>
      <c r="C387" s="31"/>
      <c r="D387" s="26"/>
      <c r="E387" s="106"/>
      <c r="F387" s="33"/>
      <c r="G387" s="32"/>
    </row>
    <row r="388" spans="2:7">
      <c r="B388" s="17"/>
      <c r="C388" s="31"/>
      <c r="D388" s="26"/>
      <c r="E388" s="106"/>
      <c r="F388" s="33"/>
      <c r="G388" s="32"/>
    </row>
    <row r="389" spans="2:7">
      <c r="B389" s="17"/>
      <c r="C389" s="31"/>
      <c r="D389" s="26"/>
      <c r="E389" s="106"/>
      <c r="F389" s="33"/>
      <c r="G389" s="32"/>
    </row>
    <row r="390" spans="2:7">
      <c r="B390" s="17"/>
      <c r="C390" s="31"/>
      <c r="D390" s="26"/>
      <c r="E390" s="106"/>
      <c r="F390" s="33"/>
      <c r="G390" s="32"/>
    </row>
    <row r="391" spans="2:7">
      <c r="B391" s="17"/>
      <c r="C391" s="31"/>
      <c r="D391" s="26"/>
      <c r="E391" s="106"/>
      <c r="F391" s="33"/>
      <c r="G391" s="32"/>
    </row>
    <row r="392" spans="2:7">
      <c r="B392" s="17"/>
      <c r="C392" s="31"/>
      <c r="D392" s="26"/>
      <c r="E392" s="106"/>
      <c r="F392" s="33"/>
      <c r="G392" s="32"/>
    </row>
    <row r="393" spans="2:7">
      <c r="B393" s="17"/>
      <c r="C393" s="31"/>
      <c r="D393" s="26"/>
      <c r="E393" s="106"/>
      <c r="F393" s="33"/>
      <c r="G393" s="32"/>
    </row>
    <row r="394" spans="2:7">
      <c r="B394" s="17"/>
      <c r="C394" s="31"/>
      <c r="D394" s="26"/>
      <c r="E394" s="106"/>
      <c r="F394" s="33"/>
      <c r="G394" s="32"/>
    </row>
    <row r="395" spans="2:7">
      <c r="B395" s="17"/>
      <c r="C395" s="31"/>
      <c r="D395" s="26"/>
      <c r="E395" s="106"/>
      <c r="F395" s="33"/>
      <c r="G395" s="32"/>
    </row>
    <row r="396" spans="2:7">
      <c r="B396" s="17"/>
      <c r="C396" s="31"/>
      <c r="D396" s="26"/>
      <c r="E396" s="106"/>
      <c r="F396" s="33"/>
      <c r="G396" s="32"/>
    </row>
    <row r="397" spans="2:7">
      <c r="B397" s="17" t="s">
        <v>148</v>
      </c>
      <c r="C397" s="31"/>
      <c r="D397" s="26"/>
      <c r="E397" s="106"/>
      <c r="F397" s="33"/>
      <c r="G397" s="32"/>
    </row>
    <row r="398" spans="2:7">
      <c r="B398" s="17"/>
      <c r="C398" s="31"/>
      <c r="D398" s="26"/>
      <c r="E398" s="106"/>
      <c r="F398" s="33"/>
      <c r="G398" s="32"/>
    </row>
    <row r="399" spans="2:7">
      <c r="B399" s="17"/>
      <c r="C399" s="31"/>
      <c r="D399" s="26"/>
      <c r="E399" s="106"/>
      <c r="F399" s="33"/>
      <c r="G399" s="32"/>
    </row>
    <row r="400" spans="2:7">
      <c r="B400" s="17"/>
      <c r="C400" s="31"/>
      <c r="D400" s="26"/>
      <c r="E400" s="106"/>
      <c r="F400" s="33"/>
      <c r="G400" s="32"/>
    </row>
    <row r="401" spans="1:7">
      <c r="B401" s="17"/>
      <c r="C401" s="31"/>
      <c r="D401" s="26"/>
      <c r="E401" s="106"/>
      <c r="F401" s="33"/>
      <c r="G401" s="32"/>
    </row>
    <row r="402" spans="1:7">
      <c r="B402" s="17"/>
      <c r="C402" s="31"/>
      <c r="D402" s="26"/>
      <c r="E402" s="106"/>
      <c r="F402" s="33"/>
      <c r="G402" s="32"/>
    </row>
    <row r="403" spans="1:7">
      <c r="B403" s="17"/>
      <c r="C403" s="31"/>
      <c r="D403" s="26"/>
      <c r="E403" s="106"/>
      <c r="F403" s="33"/>
      <c r="G403" s="32"/>
    </row>
    <row r="404" spans="1:7">
      <c r="B404" s="17"/>
      <c r="C404" s="31"/>
      <c r="D404" s="26"/>
      <c r="E404" s="106"/>
      <c r="F404" s="33"/>
      <c r="G404" s="32"/>
    </row>
    <row r="405" spans="1:7">
      <c r="B405" s="17"/>
      <c r="C405" s="31"/>
      <c r="D405" s="26"/>
      <c r="E405" s="106"/>
      <c r="F405" s="33"/>
      <c r="G405" s="32"/>
    </row>
    <row r="406" spans="1:7">
      <c r="B406" s="17" t="s">
        <v>150</v>
      </c>
      <c r="C406" s="31"/>
      <c r="D406" s="26"/>
      <c r="E406" s="106"/>
      <c r="F406" s="33"/>
      <c r="G406" s="32"/>
    </row>
    <row r="407" spans="1:7">
      <c r="B407" s="17"/>
      <c r="C407" s="31"/>
      <c r="D407" s="26"/>
      <c r="E407" s="106"/>
      <c r="F407" s="33"/>
      <c r="G407" s="32"/>
    </row>
    <row r="408" spans="1:7" ht="30">
      <c r="A408" s="23" t="s">
        <v>114</v>
      </c>
      <c r="B408" s="17" t="s">
        <v>151</v>
      </c>
      <c r="C408" s="36"/>
      <c r="D408" s="37"/>
      <c r="E408" s="107"/>
      <c r="F408" s="38"/>
      <c r="G408" s="39"/>
    </row>
    <row r="409" spans="1:7">
      <c r="A409" s="23"/>
      <c r="B409" s="17"/>
      <c r="C409" s="36"/>
      <c r="D409" s="37"/>
      <c r="E409" s="107"/>
      <c r="F409" s="38"/>
      <c r="G409" s="39"/>
    </row>
    <row r="410" spans="1:7">
      <c r="A410" s="23"/>
      <c r="B410" s="17" t="s">
        <v>59</v>
      </c>
      <c r="C410" s="36">
        <v>1</v>
      </c>
      <c r="D410" s="37"/>
      <c r="E410" s="110">
        <v>0</v>
      </c>
      <c r="F410" s="38"/>
      <c r="G410" s="70">
        <f>C410*E410</f>
        <v>0</v>
      </c>
    </row>
    <row r="411" spans="1:7">
      <c r="A411" s="23"/>
      <c r="B411" s="17"/>
      <c r="C411" s="36"/>
      <c r="D411" s="37"/>
      <c r="E411" s="107"/>
      <c r="F411" s="38"/>
      <c r="G411" s="39"/>
    </row>
    <row r="412" spans="1:7" ht="15.75" thickBot="1">
      <c r="A412" s="79"/>
      <c r="B412" s="81" t="s">
        <v>153</v>
      </c>
      <c r="C412" s="97"/>
      <c r="D412" s="98"/>
      <c r="E412" s="111"/>
      <c r="F412" s="75" t="s">
        <v>41</v>
      </c>
      <c r="G412" s="100">
        <f>SUM(G352:G411)</f>
        <v>0</v>
      </c>
    </row>
    <row r="413" spans="1:7" ht="15.75" thickTop="1">
      <c r="B413" s="20"/>
      <c r="C413" s="31"/>
      <c r="D413" s="26"/>
      <c r="E413" s="106"/>
      <c r="F413" s="33"/>
      <c r="G413" s="32"/>
    </row>
    <row r="414" spans="1:7">
      <c r="A414" s="5" t="s">
        <v>136</v>
      </c>
      <c r="B414" s="6" t="s">
        <v>137</v>
      </c>
      <c r="E414" s="104"/>
      <c r="F414" s="34"/>
    </row>
    <row r="415" spans="1:7">
      <c r="E415" s="104"/>
      <c r="F415" s="34"/>
    </row>
    <row r="416" spans="1:7" ht="135">
      <c r="A416" s="3" t="s">
        <v>111</v>
      </c>
      <c r="B416" s="2" t="s">
        <v>140</v>
      </c>
      <c r="E416" s="104"/>
      <c r="F416" s="34"/>
    </row>
    <row r="417" spans="1:7">
      <c r="E417" s="104"/>
      <c r="F417" s="34"/>
    </row>
    <row r="418" spans="1:7" ht="90">
      <c r="A418" s="3" t="s">
        <v>19</v>
      </c>
      <c r="B418" s="17" t="s">
        <v>156</v>
      </c>
      <c r="E418" s="104"/>
      <c r="F418" s="34"/>
    </row>
    <row r="419" spans="1:7">
      <c r="B419" s="21"/>
      <c r="E419" s="104"/>
      <c r="F419" s="34"/>
    </row>
    <row r="420" spans="1:7">
      <c r="B420" s="2" t="s">
        <v>45</v>
      </c>
      <c r="C420" s="1">
        <f>C141</f>
        <v>837.99600000000032</v>
      </c>
      <c r="E420" s="101">
        <v>0</v>
      </c>
      <c r="F420" s="34"/>
      <c r="G420" s="69">
        <f>C420*E420</f>
        <v>0</v>
      </c>
    </row>
    <row r="421" spans="1:7">
      <c r="E421" s="104"/>
      <c r="F421" s="34"/>
    </row>
    <row r="422" spans="1:7" ht="90" customHeight="1">
      <c r="A422" s="3" t="s">
        <v>154</v>
      </c>
      <c r="B422" s="17" t="s">
        <v>155</v>
      </c>
      <c r="E422" s="104"/>
      <c r="F422" s="34"/>
    </row>
    <row r="423" spans="1:7">
      <c r="E423" s="104"/>
      <c r="F423" s="34"/>
    </row>
    <row r="424" spans="1:7">
      <c r="B424" s="2" t="s">
        <v>45</v>
      </c>
      <c r="C424" s="1">
        <f>C420</f>
        <v>837.99600000000032</v>
      </c>
      <c r="E424" s="101">
        <v>0</v>
      </c>
      <c r="F424" s="34"/>
      <c r="G424" s="69">
        <f>C424*E424</f>
        <v>0</v>
      </c>
    </row>
    <row r="425" spans="1:7">
      <c r="E425" s="104"/>
      <c r="F425" s="34"/>
    </row>
    <row r="426" spans="1:7" ht="255" customHeight="1">
      <c r="A426" s="3" t="s">
        <v>50</v>
      </c>
      <c r="B426" s="17" t="s">
        <v>173</v>
      </c>
      <c r="E426" s="104"/>
      <c r="F426" s="34"/>
    </row>
    <row r="427" spans="1:7">
      <c r="B427" s="17"/>
      <c r="E427" s="104"/>
      <c r="F427" s="34"/>
    </row>
    <row r="428" spans="1:7">
      <c r="A428" s="3" t="s">
        <v>114</v>
      </c>
      <c r="B428" s="17" t="s">
        <v>157</v>
      </c>
      <c r="C428" s="1">
        <v>2</v>
      </c>
      <c r="E428" s="101">
        <v>0</v>
      </c>
      <c r="F428" s="34"/>
      <c r="G428" s="69">
        <f>C428*E428</f>
        <v>0</v>
      </c>
    </row>
    <row r="429" spans="1:7">
      <c r="B429" s="17"/>
      <c r="E429" s="104"/>
      <c r="F429" s="34"/>
    </row>
    <row r="430" spans="1:7">
      <c r="A430" s="3" t="s">
        <v>115</v>
      </c>
      <c r="B430" s="17" t="s">
        <v>147</v>
      </c>
      <c r="C430" s="1">
        <f>37-C366</f>
        <v>7</v>
      </c>
      <c r="E430" s="101">
        <v>0</v>
      </c>
      <c r="F430" s="34"/>
      <c r="G430" s="69">
        <f>C430*E430</f>
        <v>0</v>
      </c>
    </row>
    <row r="431" spans="1:7">
      <c r="B431" s="17"/>
      <c r="E431" s="104"/>
      <c r="F431" s="34"/>
    </row>
    <row r="432" spans="1:7" ht="45">
      <c r="A432" s="3" t="s">
        <v>52</v>
      </c>
      <c r="B432" s="17" t="s">
        <v>158</v>
      </c>
      <c r="E432" s="104"/>
      <c r="F432" s="34"/>
    </row>
    <row r="433" spans="1:7">
      <c r="B433" s="17"/>
      <c r="E433" s="104"/>
      <c r="F433" s="34"/>
    </row>
    <row r="434" spans="1:7">
      <c r="B434" s="17" t="s">
        <v>45</v>
      </c>
      <c r="C434" s="1">
        <v>1</v>
      </c>
      <c r="E434" s="101">
        <v>0</v>
      </c>
      <c r="F434" s="34"/>
      <c r="G434" s="69">
        <f>C434*E434</f>
        <v>0</v>
      </c>
    </row>
    <row r="435" spans="1:7">
      <c r="B435" s="17"/>
      <c r="E435" s="104"/>
      <c r="F435" s="34"/>
    </row>
    <row r="436" spans="1:7" ht="30">
      <c r="A436" s="3" t="s">
        <v>54</v>
      </c>
      <c r="B436" s="40" t="s">
        <v>159</v>
      </c>
      <c r="E436" s="104"/>
      <c r="F436" s="34"/>
    </row>
    <row r="437" spans="1:7">
      <c r="E437" s="104"/>
      <c r="F437" s="34"/>
    </row>
    <row r="438" spans="1:7">
      <c r="B438" s="2" t="s">
        <v>59</v>
      </c>
      <c r="C438" s="1">
        <v>1</v>
      </c>
      <c r="E438" s="101">
        <v>0</v>
      </c>
      <c r="F438" s="34"/>
      <c r="G438" s="69">
        <f>C438*E438</f>
        <v>0</v>
      </c>
    </row>
    <row r="439" spans="1:7">
      <c r="E439" s="104"/>
      <c r="F439" s="34"/>
    </row>
    <row r="440" spans="1:7" ht="15.75" thickBot="1">
      <c r="A440" s="79"/>
      <c r="B440" s="74" t="s">
        <v>160</v>
      </c>
      <c r="C440" s="75"/>
      <c r="D440" s="76"/>
      <c r="E440" s="103"/>
      <c r="F440" s="86" t="s">
        <v>41</v>
      </c>
      <c r="G440" s="75">
        <f>SUM(G414:G439)</f>
        <v>0</v>
      </c>
    </row>
    <row r="441" spans="1:7" ht="15.75" thickTop="1">
      <c r="F441" s="34"/>
    </row>
    <row r="442" spans="1:7">
      <c r="A442" s="5" t="s">
        <v>161</v>
      </c>
      <c r="B442" s="6" t="s">
        <v>162</v>
      </c>
    </row>
    <row r="444" spans="1:7" ht="120">
      <c r="A444" s="3">
        <v>1</v>
      </c>
      <c r="B444" s="2" t="s">
        <v>163</v>
      </c>
      <c r="G444" s="71">
        <f>(G96+G275+G283+G325+G350+G412+G440)*0.1</f>
        <v>0</v>
      </c>
    </row>
    <row r="445" spans="1:7">
      <c r="G445" s="41"/>
    </row>
    <row r="446" spans="1:7" ht="15.75" thickBot="1">
      <c r="A446" s="79"/>
      <c r="B446" s="74" t="s">
        <v>164</v>
      </c>
      <c r="C446" s="75"/>
      <c r="D446" s="76"/>
      <c r="E446" s="75"/>
      <c r="F446" s="75" t="s">
        <v>41</v>
      </c>
      <c r="G446" s="75">
        <f>SUM(G442:G445)</f>
        <v>0</v>
      </c>
    </row>
    <row r="447" spans="1:7" ht="15.75" thickTop="1">
      <c r="A447" s="42"/>
      <c r="B447" s="43"/>
      <c r="C447" s="44"/>
      <c r="D447" s="45"/>
      <c r="E447" s="44"/>
      <c r="F447" s="44"/>
      <c r="G447" s="44"/>
    </row>
    <row r="448" spans="1:7">
      <c r="A448" s="42"/>
      <c r="B448" s="43"/>
      <c r="C448" s="44"/>
      <c r="D448" s="45"/>
      <c r="E448" s="44"/>
      <c r="F448" s="44"/>
      <c r="G448" s="44"/>
    </row>
    <row r="450" spans="1:7">
      <c r="A450" s="95"/>
      <c r="B450" s="96" t="s">
        <v>165</v>
      </c>
    </row>
    <row r="452" spans="1:7">
      <c r="A452" s="3" t="s">
        <v>17</v>
      </c>
      <c r="B452" s="2" t="s">
        <v>18</v>
      </c>
      <c r="G452" s="69">
        <f>G96</f>
        <v>0</v>
      </c>
    </row>
    <row r="454" spans="1:7">
      <c r="A454" s="3" t="s">
        <v>42</v>
      </c>
      <c r="B454" s="2" t="s">
        <v>43</v>
      </c>
      <c r="G454" s="69">
        <f>G275</f>
        <v>0</v>
      </c>
    </row>
    <row r="456" spans="1:7">
      <c r="A456" s="3" t="s">
        <v>105</v>
      </c>
      <c r="B456" s="2" t="s">
        <v>106</v>
      </c>
      <c r="G456" s="69">
        <f>G283</f>
        <v>0</v>
      </c>
    </row>
    <row r="458" spans="1:7">
      <c r="A458" s="3" t="s">
        <v>109</v>
      </c>
      <c r="B458" s="2" t="s">
        <v>110</v>
      </c>
      <c r="G458" s="69">
        <f>G325</f>
        <v>0</v>
      </c>
    </row>
    <row r="460" spans="1:7">
      <c r="A460" s="3" t="s">
        <v>125</v>
      </c>
      <c r="B460" s="2" t="s">
        <v>126</v>
      </c>
      <c r="G460" s="69">
        <f>G350</f>
        <v>0</v>
      </c>
    </row>
    <row r="462" spans="1:7">
      <c r="A462" s="3" t="s">
        <v>134</v>
      </c>
      <c r="B462" s="2" t="s">
        <v>135</v>
      </c>
      <c r="G462" s="69">
        <f>G412</f>
        <v>0</v>
      </c>
    </row>
    <row r="464" spans="1:7">
      <c r="A464" s="3" t="s">
        <v>136</v>
      </c>
      <c r="B464" s="2" t="s">
        <v>166</v>
      </c>
      <c r="G464" s="69">
        <f>G440</f>
        <v>0</v>
      </c>
    </row>
    <row r="466" spans="1:7">
      <c r="A466" s="3" t="s">
        <v>161</v>
      </c>
      <c r="B466" s="2" t="s">
        <v>167</v>
      </c>
      <c r="G466" s="69">
        <f>G446</f>
        <v>0</v>
      </c>
    </row>
    <row r="467" spans="1:7">
      <c r="C467" s="72"/>
      <c r="D467" s="78"/>
      <c r="E467" s="72"/>
      <c r="F467" s="72"/>
    </row>
    <row r="468" spans="1:7" ht="15.75" thickBot="1">
      <c r="A468" s="90"/>
      <c r="B468" s="91" t="s">
        <v>168</v>
      </c>
      <c r="C468" s="92"/>
      <c r="D468" s="93"/>
      <c r="E468" s="92"/>
      <c r="F468" s="92"/>
      <c r="G468" s="94">
        <f>SUM(G450:G466)</f>
        <v>0</v>
      </c>
    </row>
    <row r="469" spans="1:7" ht="15.75" thickTop="1"/>
  </sheetData>
  <sheetProtection algorithmName="SHA-512" hashValue="a8/RBW9YrRxV7VOE1h8dAj5Dg8VrpTAguC/8g43O7bmv7JGtwpFBXG9QPNIuQkXs4rS/84rSeoRXyE2CVMCqmQ==" saltValue="ZPqBD0eTHWWmmkjsRXY76w==" spinCount="100000" sheet="1" objects="1" scenarios="1" selectLockedCells="1"/>
  <mergeCells count="1">
    <mergeCell ref="A2:G2"/>
  </mergeCells>
  <pageMargins left="0.9055118110236221" right="0.51181102362204722" top="0.6692913385826772" bottom="0.55118110236220474" header="0.31496062992125984" footer="0.31496062992125984"/>
  <pageSetup paperSize="9" scale="9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0E3D983-CBAE-4DD6-A6BE-757EDB344847}">
  <sheetPr>
    <tabColor rgb="FFFFFF00"/>
  </sheetPr>
  <dimension ref="A1:G403"/>
  <sheetViews>
    <sheetView showGridLines="0" view="pageBreakPreview" zoomScaleNormal="100" zoomScaleSheetLayoutView="100" workbookViewId="0">
      <selection activeCell="E375" sqref="E88:E375"/>
    </sheetView>
  </sheetViews>
  <sheetFormatPr defaultRowHeight="15"/>
  <cols>
    <col min="1" max="1" width="10.5703125" style="3" customWidth="1"/>
    <col min="2" max="2" width="44" style="2" customWidth="1"/>
    <col min="3" max="3" width="10.85546875" style="1" customWidth="1"/>
    <col min="4" max="4" width="3.5703125" style="28" customWidth="1"/>
    <col min="5" max="5" width="10.140625" style="1" bestFit="1" customWidth="1"/>
    <col min="6" max="6" width="4.140625" style="1" customWidth="1"/>
    <col min="7" max="7" width="11.28515625" style="1" customWidth="1"/>
  </cols>
  <sheetData>
    <row r="1" spans="1:7" ht="19.5">
      <c r="A1" s="47" t="s">
        <v>353</v>
      </c>
      <c r="C1" s="48"/>
      <c r="D1" s="49"/>
      <c r="E1" s="48"/>
      <c r="F1" s="48"/>
      <c r="G1" s="114" t="s">
        <v>365</v>
      </c>
    </row>
    <row r="2" spans="1:7" ht="15.75" customHeight="1">
      <c r="A2" s="118" t="s">
        <v>366</v>
      </c>
      <c r="B2" s="118"/>
      <c r="C2" s="118"/>
      <c r="D2" s="118"/>
      <c r="E2" s="118"/>
      <c r="F2" s="118"/>
      <c r="G2" s="118"/>
    </row>
    <row r="3" spans="1:7" ht="12.75" customHeight="1">
      <c r="A3" s="11"/>
      <c r="B3" s="12"/>
    </row>
    <row r="4" spans="1:7" ht="18.75">
      <c r="A4" s="5" t="s">
        <v>37</v>
      </c>
      <c r="B4" s="12"/>
    </row>
    <row r="5" spans="1:7" ht="10.5" customHeight="1">
      <c r="A5" s="5"/>
      <c r="B5" s="12"/>
    </row>
    <row r="21" spans="1:1">
      <c r="A21" s="3" t="s">
        <v>193</v>
      </c>
    </row>
    <row r="22" spans="1:1" ht="11.25" customHeight="1"/>
    <row r="35" spans="1:1" ht="6" customHeight="1"/>
    <row r="36" spans="1:1">
      <c r="A36" s="3" t="s">
        <v>194</v>
      </c>
    </row>
    <row r="51" spans="1:3">
      <c r="A51" s="3" t="s">
        <v>195</v>
      </c>
      <c r="C51" s="1" t="s">
        <v>196</v>
      </c>
    </row>
    <row r="52" spans="1:3" ht="6" customHeight="1"/>
    <row r="53" spans="1:3">
      <c r="A53" s="5" t="s">
        <v>0</v>
      </c>
      <c r="B53" s="6"/>
    </row>
    <row r="55" spans="1:3" ht="75">
      <c r="A55" s="3" t="s">
        <v>1</v>
      </c>
      <c r="B55" s="2" t="s">
        <v>2</v>
      </c>
    </row>
    <row r="56" spans="1:3" ht="45">
      <c r="A56" s="4" t="s">
        <v>3</v>
      </c>
      <c r="B56" s="2" t="s">
        <v>176</v>
      </c>
    </row>
    <row r="57" spans="1:3" ht="60">
      <c r="A57" s="4" t="s">
        <v>1</v>
      </c>
      <c r="B57" s="2" t="s">
        <v>5</v>
      </c>
    </row>
    <row r="58" spans="1:3" ht="90">
      <c r="A58" s="4" t="s">
        <v>1</v>
      </c>
      <c r="B58" s="2" t="s">
        <v>6</v>
      </c>
    </row>
    <row r="59" spans="1:3" ht="90">
      <c r="A59" s="4" t="s">
        <v>1</v>
      </c>
      <c r="B59" s="2" t="s">
        <v>74</v>
      </c>
    </row>
    <row r="60" spans="1:3" ht="75">
      <c r="A60" s="4" t="s">
        <v>1</v>
      </c>
      <c r="B60" s="2" t="s">
        <v>7</v>
      </c>
    </row>
    <row r="61" spans="1:3" ht="105" customHeight="1">
      <c r="A61" s="4" t="s">
        <v>1</v>
      </c>
      <c r="B61" s="2" t="s">
        <v>8</v>
      </c>
    </row>
    <row r="62" spans="1:3" ht="75">
      <c r="A62" s="4" t="s">
        <v>1</v>
      </c>
      <c r="B62" s="2" t="s">
        <v>9</v>
      </c>
    </row>
    <row r="63" spans="1:3" ht="45">
      <c r="A63" s="4" t="s">
        <v>1</v>
      </c>
      <c r="B63" s="2" t="s">
        <v>10</v>
      </c>
    </row>
    <row r="64" spans="1:3" ht="75">
      <c r="A64" s="4" t="s">
        <v>1</v>
      </c>
      <c r="B64" s="2" t="s">
        <v>12</v>
      </c>
    </row>
    <row r="65" spans="1:2" ht="60">
      <c r="A65" s="4" t="s">
        <v>1</v>
      </c>
      <c r="B65" s="2" t="s">
        <v>15</v>
      </c>
    </row>
    <row r="66" spans="1:2" ht="90" customHeight="1">
      <c r="A66" s="4" t="s">
        <v>1</v>
      </c>
      <c r="B66" s="2" t="s">
        <v>16</v>
      </c>
    </row>
    <row r="68" spans="1:2">
      <c r="A68" s="5" t="s">
        <v>17</v>
      </c>
      <c r="B68" s="6" t="s">
        <v>18</v>
      </c>
    </row>
    <row r="70" spans="1:2" ht="45">
      <c r="A70" s="3" t="s">
        <v>19</v>
      </c>
      <c r="B70" s="7" t="s">
        <v>20</v>
      </c>
    </row>
    <row r="71" spans="1:2" ht="75">
      <c r="B71" s="8" t="s">
        <v>21</v>
      </c>
    </row>
    <row r="72" spans="1:2" ht="105">
      <c r="B72" s="8" t="s">
        <v>22</v>
      </c>
    </row>
    <row r="73" spans="1:2">
      <c r="B73" s="9" t="s">
        <v>23</v>
      </c>
    </row>
    <row r="74" spans="1:2" ht="30">
      <c r="B74" s="9" t="s">
        <v>24</v>
      </c>
    </row>
    <row r="75" spans="1:2" ht="45">
      <c r="B75" s="9" t="s">
        <v>25</v>
      </c>
    </row>
    <row r="76" spans="1:2" ht="60">
      <c r="B76" s="9" t="s">
        <v>32</v>
      </c>
    </row>
    <row r="77" spans="1:2" ht="45">
      <c r="B77" s="9" t="s">
        <v>33</v>
      </c>
    </row>
    <row r="78" spans="1:2" ht="75">
      <c r="B78" s="9" t="s">
        <v>34</v>
      </c>
    </row>
    <row r="79" spans="1:2" ht="30">
      <c r="B79" s="9" t="s">
        <v>26</v>
      </c>
    </row>
    <row r="80" spans="1:2" ht="30">
      <c r="B80" s="9" t="s">
        <v>27</v>
      </c>
    </row>
    <row r="81" spans="1:7" ht="45">
      <c r="B81" s="9" t="s">
        <v>28</v>
      </c>
    </row>
    <row r="82" spans="1:7" ht="60">
      <c r="B82" s="9" t="s">
        <v>29</v>
      </c>
    </row>
    <row r="83" spans="1:7">
      <c r="B83" s="9" t="s">
        <v>30</v>
      </c>
    </row>
    <row r="84" spans="1:7">
      <c r="B84" s="9" t="s">
        <v>31</v>
      </c>
    </row>
    <row r="86" spans="1:7" ht="30">
      <c r="B86" s="10" t="s">
        <v>35</v>
      </c>
    </row>
    <row r="88" spans="1:7">
      <c r="B88" s="2" t="s">
        <v>36</v>
      </c>
      <c r="C88" s="1">
        <v>1</v>
      </c>
      <c r="E88" s="101">
        <v>0</v>
      </c>
      <c r="G88" s="69">
        <f>C88*E88</f>
        <v>0</v>
      </c>
    </row>
    <row r="89" spans="1:7">
      <c r="E89" s="104"/>
    </row>
    <row r="90" spans="1:7" ht="15.75" thickBot="1">
      <c r="A90" s="73"/>
      <c r="B90" s="74" t="s">
        <v>40</v>
      </c>
      <c r="C90" s="75"/>
      <c r="D90" s="76"/>
      <c r="E90" s="103"/>
      <c r="F90" s="75" t="s">
        <v>41</v>
      </c>
      <c r="G90" s="75">
        <f>SUM(G68:G89)</f>
        <v>0</v>
      </c>
    </row>
    <row r="91" spans="1:7" ht="15.75" thickTop="1">
      <c r="E91" s="104"/>
    </row>
    <row r="92" spans="1:7">
      <c r="A92" s="5" t="s">
        <v>42</v>
      </c>
      <c r="B92" s="6" t="s">
        <v>43</v>
      </c>
      <c r="E92" s="104"/>
    </row>
    <row r="93" spans="1:7">
      <c r="E93" s="104"/>
    </row>
    <row r="94" spans="1:7" ht="45">
      <c r="A94" s="3" t="s">
        <v>19</v>
      </c>
      <c r="B94" s="2" t="s">
        <v>48</v>
      </c>
      <c r="E94" s="104"/>
    </row>
    <row r="95" spans="1:7">
      <c r="E95" s="104"/>
    </row>
    <row r="96" spans="1:7">
      <c r="B96" s="2" t="s">
        <v>45</v>
      </c>
      <c r="C96" s="1">
        <f>((2*16.2+2*1.2+16.7)*18.8+15.3*5.3*0.5+2*8*4.5)*1.05+0.22</f>
        <v>1135.00225</v>
      </c>
      <c r="E96" s="101">
        <v>0</v>
      </c>
      <c r="G96" s="69">
        <f>C96*E96</f>
        <v>0</v>
      </c>
    </row>
    <row r="97" spans="1:7">
      <c r="E97" s="104"/>
    </row>
    <row r="98" spans="1:7" ht="30">
      <c r="A98" s="3" t="s">
        <v>46</v>
      </c>
      <c r="B98" s="2" t="s">
        <v>49</v>
      </c>
      <c r="E98" s="104"/>
    </row>
    <row r="99" spans="1:7">
      <c r="E99" s="104"/>
    </row>
    <row r="100" spans="1:7">
      <c r="B100" s="2" t="s">
        <v>36</v>
      </c>
      <c r="C100" s="1">
        <f>3-1</f>
        <v>2</v>
      </c>
      <c r="E100" s="101">
        <v>0</v>
      </c>
      <c r="G100" s="69">
        <f t="shared" ref="G100:G160" si="0">C100*E100</f>
        <v>0</v>
      </c>
    </row>
    <row r="101" spans="1:7">
      <c r="E101" s="104"/>
    </row>
    <row r="102" spans="1:7" ht="30">
      <c r="A102" s="3" t="s">
        <v>50</v>
      </c>
      <c r="B102" s="2" t="s">
        <v>51</v>
      </c>
      <c r="E102" s="104"/>
    </row>
    <row r="103" spans="1:7">
      <c r="E103" s="104"/>
    </row>
    <row r="104" spans="1:7">
      <c r="B104" s="2" t="s">
        <v>36</v>
      </c>
      <c r="C104" s="1">
        <f>3-1</f>
        <v>2</v>
      </c>
      <c r="E104" s="101">
        <v>0</v>
      </c>
      <c r="G104" s="69">
        <f t="shared" si="0"/>
        <v>0</v>
      </c>
    </row>
    <row r="105" spans="1:7">
      <c r="E105" s="104"/>
    </row>
    <row r="106" spans="1:7" ht="30">
      <c r="A106" s="3" t="s">
        <v>52</v>
      </c>
      <c r="B106" s="2" t="s">
        <v>53</v>
      </c>
      <c r="E106" s="104"/>
    </row>
    <row r="107" spans="1:7">
      <c r="E107" s="104"/>
    </row>
    <row r="108" spans="1:7">
      <c r="B108" s="2" t="s">
        <v>36</v>
      </c>
      <c r="C108" s="1">
        <v>2</v>
      </c>
      <c r="E108" s="101">
        <v>0</v>
      </c>
      <c r="G108" s="69">
        <f t="shared" si="0"/>
        <v>0</v>
      </c>
    </row>
    <row r="109" spans="1:7">
      <c r="E109" s="104"/>
    </row>
    <row r="110" spans="1:7" ht="15" customHeight="1">
      <c r="A110" s="3" t="s">
        <v>54</v>
      </c>
      <c r="B110" s="2" t="s">
        <v>55</v>
      </c>
      <c r="E110" s="104"/>
    </row>
    <row r="111" spans="1:7">
      <c r="E111" s="104"/>
    </row>
    <row r="112" spans="1:7">
      <c r="B112" s="2" t="s">
        <v>56</v>
      </c>
      <c r="C112" s="1">
        <f>(2*17.1+14.7+2*1.2)*1.05+1.13</f>
        <v>54.995000000000012</v>
      </c>
      <c r="E112" s="101">
        <v>0</v>
      </c>
      <c r="G112" s="69">
        <f t="shared" si="0"/>
        <v>0</v>
      </c>
    </row>
    <row r="113" spans="1:7">
      <c r="E113" s="104"/>
    </row>
    <row r="114" spans="1:7" ht="60">
      <c r="A114" s="3" t="s">
        <v>57</v>
      </c>
      <c r="B114" s="10" t="s">
        <v>44</v>
      </c>
      <c r="E114" s="104"/>
    </row>
    <row r="115" spans="1:7">
      <c r="E115" s="104"/>
    </row>
    <row r="116" spans="1:7">
      <c r="B116" s="2" t="s">
        <v>45</v>
      </c>
      <c r="C116" s="1">
        <f>(62*1.1*1.7+22*1.7*1.7)*1.05+0.5</f>
        <v>188.99599999999998</v>
      </c>
      <c r="E116" s="101">
        <v>0</v>
      </c>
      <c r="G116" s="69">
        <f t="shared" si="0"/>
        <v>0</v>
      </c>
    </row>
    <row r="117" spans="1:7">
      <c r="E117" s="104"/>
    </row>
    <row r="118" spans="1:7" ht="45">
      <c r="A118" s="3" t="s">
        <v>58</v>
      </c>
      <c r="B118" s="2" t="s">
        <v>60</v>
      </c>
      <c r="E118" s="104"/>
    </row>
    <row r="119" spans="1:7">
      <c r="E119" s="104"/>
    </row>
    <row r="120" spans="1:7">
      <c r="B120" s="2" t="s">
        <v>59</v>
      </c>
      <c r="C120" s="1">
        <v>3</v>
      </c>
      <c r="E120" s="101">
        <v>0</v>
      </c>
      <c r="G120" s="69">
        <f t="shared" si="0"/>
        <v>0</v>
      </c>
    </row>
    <row r="121" spans="1:7">
      <c r="E121" s="104"/>
    </row>
    <row r="122" spans="1:7" ht="30">
      <c r="A122" s="3" t="s">
        <v>61</v>
      </c>
      <c r="B122" s="2" t="s">
        <v>62</v>
      </c>
      <c r="E122" s="104"/>
    </row>
    <row r="123" spans="1:7">
      <c r="E123" s="104"/>
    </row>
    <row r="124" spans="1:7">
      <c r="B124" s="2" t="s">
        <v>63</v>
      </c>
      <c r="C124" s="1">
        <v>1</v>
      </c>
      <c r="E124" s="101">
        <v>0</v>
      </c>
      <c r="G124" s="69">
        <f t="shared" si="0"/>
        <v>0</v>
      </c>
    </row>
    <row r="125" spans="1:7">
      <c r="E125" s="104"/>
    </row>
    <row r="126" spans="1:7" ht="90" customHeight="1">
      <c r="A126" s="3" t="s">
        <v>64</v>
      </c>
      <c r="B126" s="17" t="s">
        <v>65</v>
      </c>
      <c r="E126" s="104"/>
    </row>
    <row r="127" spans="1:7">
      <c r="E127" s="104"/>
    </row>
    <row r="128" spans="1:7">
      <c r="B128" s="2" t="s">
        <v>56</v>
      </c>
      <c r="C128" s="1">
        <f>C112</f>
        <v>54.995000000000012</v>
      </c>
      <c r="E128" s="101">
        <v>0</v>
      </c>
      <c r="G128" s="69">
        <f t="shared" si="0"/>
        <v>0</v>
      </c>
    </row>
    <row r="129" spans="1:7">
      <c r="E129" s="104"/>
    </row>
    <row r="130" spans="1:7" ht="75">
      <c r="A130" s="3" t="s">
        <v>66</v>
      </c>
      <c r="B130" s="2" t="s">
        <v>67</v>
      </c>
      <c r="E130" s="104"/>
    </row>
    <row r="131" spans="1:7">
      <c r="E131" s="104"/>
    </row>
    <row r="132" spans="1:7">
      <c r="B132" s="2" t="s">
        <v>59</v>
      </c>
      <c r="C132" s="1">
        <f>(48.9*4/0.8)-0.5</f>
        <v>243.99999999999997</v>
      </c>
      <c r="E132" s="101">
        <v>0</v>
      </c>
      <c r="G132" s="69">
        <f t="shared" si="0"/>
        <v>0</v>
      </c>
    </row>
    <row r="133" spans="1:7">
      <c r="E133" s="104"/>
    </row>
    <row r="134" spans="1:7" ht="30.75" customHeight="1">
      <c r="A134" s="3" t="s">
        <v>68</v>
      </c>
      <c r="B134" s="2" t="s">
        <v>47</v>
      </c>
      <c r="E134" s="104"/>
    </row>
    <row r="135" spans="1:7">
      <c r="E135" s="104"/>
    </row>
    <row r="136" spans="1:7">
      <c r="B136" s="2" t="s">
        <v>45</v>
      </c>
      <c r="C136" s="1">
        <f>((17.1*2+48.9+2*1.2)*18.8)*1.05+0.23+2*7*4.5</f>
        <v>1751.0000000000002</v>
      </c>
      <c r="E136" s="101">
        <v>0</v>
      </c>
      <c r="G136" s="69">
        <f t="shared" si="0"/>
        <v>0</v>
      </c>
    </row>
    <row r="137" spans="1:7">
      <c r="E137" s="104"/>
    </row>
    <row r="138" spans="1:7" ht="105">
      <c r="A138" s="3" t="s">
        <v>69</v>
      </c>
      <c r="B138" s="2" t="s">
        <v>72</v>
      </c>
      <c r="E138" s="104"/>
    </row>
    <row r="139" spans="1:7">
      <c r="E139" s="104"/>
    </row>
    <row r="140" spans="1:7">
      <c r="B140" s="2" t="s">
        <v>45</v>
      </c>
      <c r="C140" s="1">
        <f>C136*0.6+0.4</f>
        <v>1051.0000000000002</v>
      </c>
      <c r="E140" s="101">
        <v>0</v>
      </c>
      <c r="G140" s="69">
        <f t="shared" si="0"/>
        <v>0</v>
      </c>
    </row>
    <row r="141" spans="1:7">
      <c r="E141" s="104"/>
    </row>
    <row r="142" spans="1:7" ht="105" customHeight="1">
      <c r="A142" s="3" t="s">
        <v>70</v>
      </c>
      <c r="B142" s="2" t="s">
        <v>71</v>
      </c>
      <c r="E142" s="104"/>
    </row>
    <row r="143" spans="1:7">
      <c r="E143" s="104"/>
    </row>
    <row r="144" spans="1:7">
      <c r="B144" s="2" t="s">
        <v>45</v>
      </c>
      <c r="C144" s="1">
        <f>C136</f>
        <v>1751.0000000000002</v>
      </c>
      <c r="E144" s="101">
        <v>0</v>
      </c>
      <c r="G144" s="69">
        <f t="shared" si="0"/>
        <v>0</v>
      </c>
    </row>
    <row r="145" spans="1:7">
      <c r="E145" s="104"/>
    </row>
    <row r="146" spans="1:7" ht="75">
      <c r="A146" s="3" t="s">
        <v>73</v>
      </c>
      <c r="B146" s="2" t="s">
        <v>75</v>
      </c>
      <c r="E146" s="104"/>
    </row>
    <row r="147" spans="1:7">
      <c r="E147" s="104"/>
    </row>
    <row r="148" spans="1:7">
      <c r="B148" s="2" t="s">
        <v>45</v>
      </c>
      <c r="C148" s="1">
        <f>C140</f>
        <v>1051.0000000000002</v>
      </c>
      <c r="E148" s="101">
        <v>0</v>
      </c>
      <c r="G148" s="69">
        <f t="shared" si="0"/>
        <v>0</v>
      </c>
    </row>
    <row r="149" spans="1:7">
      <c r="E149" s="104"/>
    </row>
    <row r="150" spans="1:7" ht="60">
      <c r="A150" s="3" t="s">
        <v>76</v>
      </c>
      <c r="B150" s="2" t="s">
        <v>83</v>
      </c>
      <c r="E150" s="104"/>
    </row>
    <row r="151" spans="1:7">
      <c r="E151" s="104"/>
    </row>
    <row r="152" spans="1:7">
      <c r="B152" s="2" t="s">
        <v>45</v>
      </c>
      <c r="C152" s="1">
        <f>C144</f>
        <v>1751.0000000000002</v>
      </c>
      <c r="E152" s="101">
        <v>0</v>
      </c>
      <c r="G152" s="69">
        <f t="shared" si="0"/>
        <v>0</v>
      </c>
    </row>
    <row r="153" spans="1:7">
      <c r="E153" s="104"/>
    </row>
    <row r="154" spans="1:7" ht="45">
      <c r="A154" s="3" t="s">
        <v>77</v>
      </c>
      <c r="B154" s="2" t="s">
        <v>90</v>
      </c>
      <c r="E154" s="104"/>
    </row>
    <row r="155" spans="1:7">
      <c r="E155" s="104"/>
    </row>
    <row r="156" spans="1:7">
      <c r="B156" s="2" t="s">
        <v>45</v>
      </c>
      <c r="C156" s="1">
        <f>C144</f>
        <v>1751.0000000000002</v>
      </c>
      <c r="E156" s="101">
        <v>0</v>
      </c>
      <c r="G156" s="69">
        <f t="shared" si="0"/>
        <v>0</v>
      </c>
    </row>
    <row r="157" spans="1:7">
      <c r="E157" s="104"/>
    </row>
    <row r="158" spans="1:7" ht="45">
      <c r="A158" s="3" t="s">
        <v>78</v>
      </c>
      <c r="B158" s="2" t="s">
        <v>89</v>
      </c>
      <c r="E158" s="104"/>
    </row>
    <row r="159" spans="1:7">
      <c r="E159" s="104"/>
    </row>
    <row r="160" spans="1:7">
      <c r="B160" s="2" t="s">
        <v>45</v>
      </c>
      <c r="C160" s="1">
        <f>C128</f>
        <v>54.995000000000012</v>
      </c>
      <c r="E160" s="101">
        <v>0</v>
      </c>
      <c r="G160" s="69">
        <f t="shared" si="0"/>
        <v>0</v>
      </c>
    </row>
    <row r="161" spans="1:7">
      <c r="E161" s="104"/>
    </row>
    <row r="162" spans="1:7" ht="60">
      <c r="A162" s="3" t="s">
        <v>80</v>
      </c>
      <c r="B162" s="2" t="s">
        <v>197</v>
      </c>
      <c r="E162" s="104"/>
    </row>
    <row r="163" spans="1:7">
      <c r="E163" s="104"/>
    </row>
    <row r="164" spans="1:7">
      <c r="E164" s="104"/>
    </row>
    <row r="165" spans="1:7">
      <c r="E165" s="104"/>
    </row>
    <row r="166" spans="1:7">
      <c r="E166" s="104"/>
    </row>
    <row r="167" spans="1:7">
      <c r="E167" s="104"/>
    </row>
    <row r="168" spans="1:7">
      <c r="E168" s="104"/>
    </row>
    <row r="169" spans="1:7">
      <c r="E169" s="104"/>
    </row>
    <row r="170" spans="1:7">
      <c r="E170" s="104"/>
    </row>
    <row r="171" spans="1:7">
      <c r="E171" s="104"/>
    </row>
    <row r="172" spans="1:7">
      <c r="E172" s="104"/>
    </row>
    <row r="173" spans="1:7">
      <c r="E173" s="104"/>
    </row>
    <row r="174" spans="1:7">
      <c r="E174" s="104"/>
    </row>
    <row r="175" spans="1:7">
      <c r="E175" s="104"/>
    </row>
    <row r="176" spans="1:7">
      <c r="B176" s="2" t="s">
        <v>56</v>
      </c>
      <c r="C176" s="1">
        <f>5*(2*17.1+2*1.2+14.7)*1.05+0.67</f>
        <v>269.995</v>
      </c>
      <c r="E176" s="101">
        <v>0</v>
      </c>
      <c r="G176" s="69">
        <f t="shared" ref="G176:G250" si="1">C176*E176</f>
        <v>0</v>
      </c>
    </row>
    <row r="177" spans="1:7">
      <c r="E177" s="104"/>
    </row>
    <row r="178" spans="1:7" ht="45" customHeight="1">
      <c r="A178" s="3" t="s">
        <v>82</v>
      </c>
      <c r="B178" s="2" t="s">
        <v>198</v>
      </c>
      <c r="E178" s="104"/>
    </row>
    <row r="179" spans="1:7" ht="7.5" customHeight="1">
      <c r="E179" s="104"/>
    </row>
    <row r="180" spans="1:7">
      <c r="E180" s="104"/>
    </row>
    <row r="181" spans="1:7">
      <c r="E181" s="104"/>
    </row>
    <row r="182" spans="1:7">
      <c r="E182" s="104"/>
    </row>
    <row r="183" spans="1:7">
      <c r="E183" s="104"/>
    </row>
    <row r="184" spans="1:7">
      <c r="E184" s="104"/>
    </row>
    <row r="185" spans="1:7">
      <c r="E185" s="104"/>
    </row>
    <row r="186" spans="1:7">
      <c r="E186" s="104"/>
    </row>
    <row r="187" spans="1:7">
      <c r="E187" s="104"/>
    </row>
    <row r="188" spans="1:7">
      <c r="E188" s="104"/>
    </row>
    <row r="189" spans="1:7">
      <c r="E189" s="104"/>
    </row>
    <row r="190" spans="1:7">
      <c r="E190" s="104"/>
    </row>
    <row r="191" spans="1:7">
      <c r="E191" s="104"/>
    </row>
    <row r="192" spans="1:7">
      <c r="B192" s="2" t="s">
        <v>56</v>
      </c>
      <c r="C192" s="1">
        <f>C160+2*7</f>
        <v>68.995000000000005</v>
      </c>
      <c r="E192" s="101">
        <v>0</v>
      </c>
      <c r="G192" s="69">
        <f t="shared" si="1"/>
        <v>0</v>
      </c>
    </row>
    <row r="193" spans="1:5">
      <c r="E193" s="104"/>
    </row>
    <row r="194" spans="1:5" ht="45">
      <c r="A194" s="3" t="s">
        <v>84</v>
      </c>
      <c r="B194" s="2" t="s">
        <v>101</v>
      </c>
      <c r="E194" s="104"/>
    </row>
    <row r="195" spans="1:5">
      <c r="E195" s="104"/>
    </row>
    <row r="196" spans="1:5">
      <c r="E196" s="104"/>
    </row>
    <row r="197" spans="1:5">
      <c r="E197" s="104"/>
    </row>
    <row r="198" spans="1:5">
      <c r="E198" s="104"/>
    </row>
    <row r="199" spans="1:5">
      <c r="E199" s="104"/>
    </row>
    <row r="200" spans="1:5">
      <c r="E200" s="104"/>
    </row>
    <row r="201" spans="1:5">
      <c r="E201" s="104"/>
    </row>
    <row r="202" spans="1:5">
      <c r="E202" s="104"/>
    </row>
    <row r="203" spans="1:5">
      <c r="E203" s="104"/>
    </row>
    <row r="204" spans="1:5">
      <c r="E204" s="104"/>
    </row>
    <row r="205" spans="1:5">
      <c r="E205" s="104"/>
    </row>
    <row r="206" spans="1:5">
      <c r="E206" s="104"/>
    </row>
    <row r="207" spans="1:5">
      <c r="E207" s="104"/>
    </row>
    <row r="208" spans="1:5">
      <c r="E208" s="104"/>
    </row>
    <row r="209" spans="1:7">
      <c r="E209" s="104"/>
    </row>
    <row r="210" spans="1:7">
      <c r="B210" s="2" t="s">
        <v>56</v>
      </c>
      <c r="C210" s="1">
        <f>C192+2*10</f>
        <v>88.995000000000005</v>
      </c>
      <c r="E210" s="101">
        <v>0</v>
      </c>
      <c r="G210" s="69">
        <f t="shared" si="1"/>
        <v>0</v>
      </c>
    </row>
    <row r="211" spans="1:7">
      <c r="E211" s="104"/>
    </row>
    <row r="212" spans="1:7" ht="60" customHeight="1">
      <c r="A212" s="3" t="s">
        <v>85</v>
      </c>
      <c r="B212" s="2" t="s">
        <v>87</v>
      </c>
      <c r="E212" s="104"/>
    </row>
    <row r="213" spans="1:7" ht="9.75" customHeight="1">
      <c r="E213" s="104"/>
    </row>
    <row r="214" spans="1:7">
      <c r="E214" s="104"/>
    </row>
    <row r="215" spans="1:7">
      <c r="E215" s="104"/>
    </row>
    <row r="216" spans="1:7">
      <c r="E216" s="104"/>
    </row>
    <row r="217" spans="1:7">
      <c r="E217" s="104"/>
    </row>
    <row r="218" spans="1:7">
      <c r="E218" s="104"/>
    </row>
    <row r="219" spans="1:7">
      <c r="E219" s="104"/>
    </row>
    <row r="220" spans="1:7">
      <c r="E220" s="104"/>
    </row>
    <row r="221" spans="1:7">
      <c r="E221" s="104"/>
    </row>
    <row r="222" spans="1:7">
      <c r="E222" s="104"/>
    </row>
    <row r="223" spans="1:7">
      <c r="E223" s="104"/>
    </row>
    <row r="224" spans="1:7">
      <c r="E224" s="104"/>
    </row>
    <row r="225" spans="1:7">
      <c r="E225" s="104"/>
    </row>
    <row r="226" spans="1:7">
      <c r="B226" s="2" t="s">
        <v>56</v>
      </c>
      <c r="C226" s="1">
        <f>10*2.7*2+8*2*1.9+0.6+8*1.2+40*1.2+8*1.8</f>
        <v>157</v>
      </c>
      <c r="E226" s="101">
        <v>0</v>
      </c>
      <c r="G226" s="69">
        <f t="shared" si="1"/>
        <v>0</v>
      </c>
    </row>
    <row r="227" spans="1:7">
      <c r="E227" s="104"/>
    </row>
    <row r="228" spans="1:7" ht="45">
      <c r="A228" s="3" t="s">
        <v>86</v>
      </c>
      <c r="B228" s="2" t="s">
        <v>88</v>
      </c>
      <c r="E228" s="104"/>
    </row>
    <row r="229" spans="1:7">
      <c r="E229" s="104"/>
    </row>
    <row r="230" spans="1:7">
      <c r="B230" s="2" t="s">
        <v>56</v>
      </c>
      <c r="C230" s="1">
        <f>C176+C192+0.01</f>
        <v>339</v>
      </c>
      <c r="E230" s="101">
        <v>0</v>
      </c>
      <c r="G230" s="69">
        <f t="shared" si="1"/>
        <v>0</v>
      </c>
    </row>
    <row r="231" spans="1:7">
      <c r="E231" s="104"/>
    </row>
    <row r="232" spans="1:7" ht="30">
      <c r="A232" s="3" t="s">
        <v>91</v>
      </c>
      <c r="B232" s="2" t="s">
        <v>199</v>
      </c>
      <c r="E232" s="104"/>
    </row>
    <row r="233" spans="1:7">
      <c r="E233" s="104"/>
    </row>
    <row r="234" spans="1:7">
      <c r="B234" s="2" t="s">
        <v>56</v>
      </c>
      <c r="C234" s="1">
        <v>15</v>
      </c>
      <c r="E234" s="101">
        <v>0</v>
      </c>
      <c r="G234" s="69">
        <f t="shared" si="1"/>
        <v>0</v>
      </c>
    </row>
    <row r="235" spans="1:7">
      <c r="E235" s="104"/>
    </row>
    <row r="236" spans="1:7">
      <c r="A236" s="3" t="s">
        <v>92</v>
      </c>
      <c r="B236" s="2" t="s">
        <v>103</v>
      </c>
      <c r="E236" s="104"/>
    </row>
    <row r="237" spans="1:7">
      <c r="E237" s="104"/>
    </row>
    <row r="238" spans="1:7">
      <c r="B238" s="2" t="s">
        <v>56</v>
      </c>
      <c r="C238" s="1">
        <f>C226</f>
        <v>157</v>
      </c>
      <c r="E238" s="101">
        <v>0</v>
      </c>
      <c r="G238" s="69">
        <f t="shared" si="1"/>
        <v>0</v>
      </c>
    </row>
    <row r="239" spans="1:7">
      <c r="E239" s="104"/>
    </row>
    <row r="240" spans="1:7" ht="75">
      <c r="A240" s="3" t="s">
        <v>93</v>
      </c>
      <c r="B240" s="2" t="s">
        <v>94</v>
      </c>
      <c r="E240" s="104"/>
    </row>
    <row r="241" spans="1:7">
      <c r="E241" s="104"/>
    </row>
    <row r="242" spans="1:7">
      <c r="B242" s="2" t="s">
        <v>63</v>
      </c>
      <c r="C242" s="1">
        <v>1</v>
      </c>
      <c r="E242" s="101">
        <v>0</v>
      </c>
      <c r="G242" s="69">
        <f t="shared" si="1"/>
        <v>0</v>
      </c>
    </row>
    <row r="243" spans="1:7">
      <c r="E243" s="104"/>
    </row>
    <row r="244" spans="1:7" ht="45">
      <c r="A244" s="3" t="s">
        <v>95</v>
      </c>
      <c r="B244" s="2" t="s">
        <v>96</v>
      </c>
      <c r="E244" s="104"/>
    </row>
    <row r="245" spans="1:7">
      <c r="E245" s="104"/>
    </row>
    <row r="246" spans="1:7">
      <c r="B246" s="2" t="s">
        <v>97</v>
      </c>
      <c r="C246" s="1">
        <f>C136*0.01*1.25+C148*0.03*1.25</f>
        <v>61.300000000000011</v>
      </c>
      <c r="E246" s="101">
        <v>0</v>
      </c>
      <c r="G246" s="69">
        <f t="shared" si="1"/>
        <v>0</v>
      </c>
    </row>
    <row r="247" spans="1:7">
      <c r="E247" s="104"/>
    </row>
    <row r="248" spans="1:7" ht="45">
      <c r="A248" s="3" t="s">
        <v>98</v>
      </c>
      <c r="B248" s="2" t="s">
        <v>99</v>
      </c>
      <c r="E248" s="104"/>
    </row>
    <row r="249" spans="1:7">
      <c r="E249" s="104"/>
    </row>
    <row r="250" spans="1:7">
      <c r="B250" s="2" t="s">
        <v>63</v>
      </c>
      <c r="C250" s="1">
        <v>1</v>
      </c>
      <c r="E250" s="101">
        <v>0</v>
      </c>
      <c r="G250" s="1">
        <f t="shared" si="1"/>
        <v>0</v>
      </c>
    </row>
    <row r="251" spans="1:7">
      <c r="E251" s="104"/>
      <c r="G251" s="69"/>
    </row>
    <row r="252" spans="1:7" ht="15.75" thickBot="1">
      <c r="A252" s="79"/>
      <c r="B252" s="74" t="s">
        <v>100</v>
      </c>
      <c r="C252" s="75"/>
      <c r="D252" s="76"/>
      <c r="E252" s="103"/>
      <c r="F252" s="75" t="s">
        <v>41</v>
      </c>
      <c r="G252" s="75">
        <f>SUM(G92:G251)</f>
        <v>0</v>
      </c>
    </row>
    <row r="253" spans="1:7" ht="15.75" thickTop="1">
      <c r="E253" s="104"/>
    </row>
    <row r="254" spans="1:7">
      <c r="A254" s="5" t="s">
        <v>105</v>
      </c>
      <c r="B254" s="6" t="s">
        <v>106</v>
      </c>
      <c r="E254" s="104"/>
    </row>
    <row r="255" spans="1:7">
      <c r="E255" s="104"/>
    </row>
    <row r="256" spans="1:7" ht="105">
      <c r="A256" s="3" t="s">
        <v>19</v>
      </c>
      <c r="B256" s="22" t="s">
        <v>107</v>
      </c>
      <c r="E256" s="104"/>
    </row>
    <row r="257" spans="1:7">
      <c r="E257" s="104"/>
    </row>
    <row r="258" spans="1:7" ht="15.75" thickBot="1">
      <c r="B258" s="2" t="s">
        <v>63</v>
      </c>
      <c r="C258" s="1">
        <v>1</v>
      </c>
      <c r="E258" s="104">
        <v>0</v>
      </c>
      <c r="G258" s="1">
        <f>C258*E258</f>
        <v>0</v>
      </c>
    </row>
    <row r="259" spans="1:7">
      <c r="A259" s="18"/>
      <c r="B259" s="15" t="s">
        <v>108</v>
      </c>
      <c r="C259" s="16"/>
      <c r="D259" s="29"/>
      <c r="E259" s="112"/>
      <c r="F259" s="16" t="s">
        <v>41</v>
      </c>
      <c r="G259" s="16">
        <f>G258</f>
        <v>0</v>
      </c>
    </row>
    <row r="260" spans="1:7">
      <c r="E260" s="104"/>
    </row>
    <row r="261" spans="1:7">
      <c r="A261" s="5" t="s">
        <v>109</v>
      </c>
      <c r="B261" s="6" t="s">
        <v>110</v>
      </c>
      <c r="E261" s="104"/>
    </row>
    <row r="262" spans="1:7">
      <c r="A262" s="5"/>
      <c r="B262" s="6"/>
      <c r="E262" s="104"/>
    </row>
    <row r="263" spans="1:7" ht="105">
      <c r="A263" s="23" t="s">
        <v>111</v>
      </c>
      <c r="B263" s="24" t="s">
        <v>112</v>
      </c>
      <c r="E263" s="104"/>
    </row>
    <row r="264" spans="1:7">
      <c r="A264" s="5"/>
      <c r="B264" s="6"/>
      <c r="E264" s="104"/>
    </row>
    <row r="265" spans="1:7" ht="60">
      <c r="A265" s="3" t="s">
        <v>19</v>
      </c>
      <c r="B265" s="2" t="s">
        <v>113</v>
      </c>
      <c r="E265" s="104"/>
    </row>
    <row r="266" spans="1:7">
      <c r="E266" s="104"/>
    </row>
    <row r="267" spans="1:7">
      <c r="A267" s="3" t="s">
        <v>114</v>
      </c>
      <c r="B267" s="2" t="s">
        <v>118</v>
      </c>
      <c r="C267" s="1">
        <f>C277</f>
        <v>464</v>
      </c>
      <c r="E267" s="101">
        <v>0</v>
      </c>
      <c r="G267" s="69">
        <f>C267*E267</f>
        <v>0</v>
      </c>
    </row>
    <row r="268" spans="1:7">
      <c r="E268" s="104"/>
    </row>
    <row r="269" spans="1:7">
      <c r="A269" s="3" t="s">
        <v>115</v>
      </c>
      <c r="B269" s="2" t="s">
        <v>119</v>
      </c>
      <c r="C269" s="1">
        <f>C279</f>
        <v>15</v>
      </c>
      <c r="E269" s="101">
        <v>0</v>
      </c>
      <c r="G269" s="69">
        <f t="shared" ref="G269:G291" si="2">C269*E269</f>
        <v>0</v>
      </c>
    </row>
    <row r="270" spans="1:7">
      <c r="E270" s="104"/>
    </row>
    <row r="271" spans="1:7" ht="60">
      <c r="A271" s="3" t="s">
        <v>46</v>
      </c>
      <c r="B271" s="2" t="s">
        <v>132</v>
      </c>
      <c r="E271" s="104"/>
    </row>
    <row r="272" spans="1:7">
      <c r="E272" s="104"/>
    </row>
    <row r="273" spans="1:7">
      <c r="B273" s="2" t="s">
        <v>56</v>
      </c>
      <c r="C273" s="1">
        <f>4*19+4*1+4*1</f>
        <v>84</v>
      </c>
      <c r="E273" s="101">
        <v>0</v>
      </c>
      <c r="G273" s="69">
        <f t="shared" si="2"/>
        <v>0</v>
      </c>
    </row>
    <row r="274" spans="1:7">
      <c r="E274" s="104"/>
    </row>
    <row r="275" spans="1:7">
      <c r="A275" s="3" t="s">
        <v>50</v>
      </c>
      <c r="B275" s="2" t="s">
        <v>117</v>
      </c>
      <c r="E275" s="104"/>
    </row>
    <row r="276" spans="1:7">
      <c r="E276" s="104"/>
    </row>
    <row r="277" spans="1:7">
      <c r="A277" s="3" t="s">
        <v>114</v>
      </c>
      <c r="B277" s="2" t="s">
        <v>118</v>
      </c>
      <c r="C277" s="1">
        <f>C176+C192+C226-8*1.5-10*2+0.01</f>
        <v>464</v>
      </c>
      <c r="E277" s="101">
        <v>0</v>
      </c>
      <c r="G277" s="69">
        <f t="shared" si="2"/>
        <v>0</v>
      </c>
    </row>
    <row r="278" spans="1:7">
      <c r="E278" s="104"/>
    </row>
    <row r="279" spans="1:7">
      <c r="A279" s="3" t="s">
        <v>115</v>
      </c>
      <c r="B279" s="2" t="s">
        <v>119</v>
      </c>
      <c r="C279" s="1">
        <f>C234</f>
        <v>15</v>
      </c>
      <c r="E279" s="101">
        <v>0</v>
      </c>
      <c r="G279" s="69">
        <f t="shared" si="2"/>
        <v>0</v>
      </c>
    </row>
    <row r="280" spans="1:7">
      <c r="E280" s="104"/>
    </row>
    <row r="281" spans="1:7" ht="45">
      <c r="A281" s="3" t="s">
        <v>54</v>
      </c>
      <c r="B281" s="2" t="s">
        <v>200</v>
      </c>
      <c r="E281" s="104"/>
    </row>
    <row r="282" spans="1:7">
      <c r="E282" s="104"/>
    </row>
    <row r="283" spans="1:7">
      <c r="B283" s="2" t="s">
        <v>56</v>
      </c>
      <c r="C283" s="1">
        <f>48.9+2*1.2+2*7+0.7</f>
        <v>66</v>
      </c>
      <c r="E283" s="101">
        <v>0</v>
      </c>
      <c r="G283" s="69">
        <f>C283*E283</f>
        <v>0</v>
      </c>
    </row>
    <row r="284" spans="1:7">
      <c r="E284" s="104"/>
    </row>
    <row r="285" spans="1:7">
      <c r="A285" s="3" t="s">
        <v>57</v>
      </c>
      <c r="B285" s="2" t="s">
        <v>183</v>
      </c>
      <c r="E285" s="104"/>
    </row>
    <row r="286" spans="1:7">
      <c r="E286" s="104"/>
    </row>
    <row r="287" spans="1:7">
      <c r="B287" s="2" t="s">
        <v>59</v>
      </c>
      <c r="C287" s="1">
        <v>4</v>
      </c>
      <c r="E287" s="101">
        <v>0</v>
      </c>
      <c r="G287" s="69">
        <f t="shared" si="2"/>
        <v>0</v>
      </c>
    </row>
    <row r="288" spans="1:7">
      <c r="E288" s="104"/>
    </row>
    <row r="289" spans="1:7" ht="60">
      <c r="A289" s="3" t="s">
        <v>58</v>
      </c>
      <c r="B289" s="2" t="s">
        <v>123</v>
      </c>
      <c r="E289" s="104"/>
    </row>
    <row r="290" spans="1:7">
      <c r="E290" s="104"/>
    </row>
    <row r="291" spans="1:7">
      <c r="B291" s="2" t="s">
        <v>56</v>
      </c>
      <c r="C291" s="1">
        <f>6*48.9+6*2*1.2+15.3-0.1</f>
        <v>322.99999999999994</v>
      </c>
      <c r="E291" s="101">
        <v>0</v>
      </c>
      <c r="G291" s="69">
        <f t="shared" si="2"/>
        <v>0</v>
      </c>
    </row>
    <row r="292" spans="1:7">
      <c r="E292" s="104"/>
    </row>
    <row r="293" spans="1:7" ht="15.75" thickBot="1">
      <c r="A293" s="79"/>
      <c r="B293" s="74" t="s">
        <v>124</v>
      </c>
      <c r="C293" s="75"/>
      <c r="D293" s="76"/>
      <c r="E293" s="103"/>
      <c r="F293" s="75" t="s">
        <v>41</v>
      </c>
      <c r="G293" s="75">
        <f>SUM(G261:G292)</f>
        <v>0</v>
      </c>
    </row>
    <row r="294" spans="1:7" ht="15.75" thickTop="1">
      <c r="E294" s="104"/>
    </row>
    <row r="295" spans="1:7">
      <c r="A295" s="5" t="s">
        <v>125</v>
      </c>
      <c r="B295" s="6" t="s">
        <v>126</v>
      </c>
      <c r="C295" s="25"/>
      <c r="D295" s="30"/>
      <c r="E295" s="105"/>
      <c r="F295" s="25"/>
      <c r="G295" s="25"/>
    </row>
    <row r="296" spans="1:7">
      <c r="E296" s="104"/>
    </row>
    <row r="297" spans="1:7" ht="45">
      <c r="A297" s="3" t="s">
        <v>19</v>
      </c>
      <c r="B297" s="2" t="s">
        <v>127</v>
      </c>
      <c r="E297" s="104"/>
    </row>
    <row r="298" spans="1:7">
      <c r="E298" s="104"/>
    </row>
    <row r="299" spans="1:7">
      <c r="B299" s="2" t="s">
        <v>59</v>
      </c>
      <c r="C299" s="1">
        <v>1</v>
      </c>
      <c r="E299" s="101">
        <v>0</v>
      </c>
      <c r="G299" s="69">
        <f>C299*E299</f>
        <v>0</v>
      </c>
    </row>
    <row r="300" spans="1:7">
      <c r="E300" s="104"/>
    </row>
    <row r="301" spans="1:7" ht="60">
      <c r="A301" s="3" t="s">
        <v>46</v>
      </c>
      <c r="B301" s="2" t="s">
        <v>128</v>
      </c>
      <c r="E301" s="104"/>
    </row>
    <row r="302" spans="1:7">
      <c r="E302" s="104"/>
    </row>
    <row r="303" spans="1:7">
      <c r="E303" s="104"/>
    </row>
    <row r="304" spans="1:7">
      <c r="E304" s="104"/>
    </row>
    <row r="305" spans="1:7">
      <c r="E305" s="104"/>
    </row>
    <row r="306" spans="1:7">
      <c r="E306" s="104"/>
    </row>
    <row r="307" spans="1:7">
      <c r="E307" s="104"/>
    </row>
    <row r="308" spans="1:7">
      <c r="E308" s="104"/>
    </row>
    <row r="309" spans="1:7">
      <c r="E309" s="104"/>
    </row>
    <row r="310" spans="1:7">
      <c r="E310" s="104"/>
    </row>
    <row r="311" spans="1:7">
      <c r="E311" s="104"/>
    </row>
    <row r="312" spans="1:7">
      <c r="E312" s="104"/>
    </row>
    <row r="313" spans="1:7">
      <c r="E313" s="104"/>
    </row>
    <row r="314" spans="1:7">
      <c r="B314" s="2" t="s">
        <v>130</v>
      </c>
      <c r="E314" s="104"/>
    </row>
    <row r="315" spans="1:7">
      <c r="E315" s="104"/>
    </row>
    <row r="316" spans="1:7">
      <c r="B316" s="2" t="s">
        <v>59</v>
      </c>
      <c r="C316" s="1">
        <v>14</v>
      </c>
      <c r="E316" s="101">
        <v>0</v>
      </c>
      <c r="G316" s="69">
        <f>C316*E316</f>
        <v>0</v>
      </c>
    </row>
    <row r="317" spans="1:7">
      <c r="E317" s="104"/>
    </row>
    <row r="318" spans="1:7" ht="15.75" thickBot="1">
      <c r="A318" s="79"/>
      <c r="B318" s="74" t="s">
        <v>129</v>
      </c>
      <c r="C318" s="75"/>
      <c r="D318" s="76"/>
      <c r="E318" s="103"/>
      <c r="F318" s="75" t="s">
        <v>41</v>
      </c>
      <c r="G318" s="75">
        <f>SUM(G295:G317)</f>
        <v>0</v>
      </c>
    </row>
    <row r="319" spans="1:7" ht="15.75" thickTop="1">
      <c r="E319" s="104"/>
    </row>
    <row r="320" spans="1:7">
      <c r="A320" s="5" t="s">
        <v>134</v>
      </c>
      <c r="B320" s="6" t="s">
        <v>135</v>
      </c>
      <c r="E320" s="104"/>
    </row>
    <row r="321" spans="1:7">
      <c r="E321" s="104"/>
    </row>
    <row r="322" spans="1:7" ht="60">
      <c r="A322" s="3" t="s">
        <v>111</v>
      </c>
      <c r="B322" s="2" t="s">
        <v>139</v>
      </c>
      <c r="E322" s="104"/>
    </row>
    <row r="323" spans="1:7">
      <c r="E323" s="104"/>
    </row>
    <row r="324" spans="1:7" ht="105">
      <c r="B324" s="2" t="s">
        <v>141</v>
      </c>
      <c r="E324" s="104"/>
    </row>
    <row r="325" spans="1:7">
      <c r="E325" s="104"/>
    </row>
    <row r="326" spans="1:7" ht="180">
      <c r="A326" s="3" t="s">
        <v>19</v>
      </c>
      <c r="B326" s="2" t="s">
        <v>138</v>
      </c>
      <c r="E326" s="104"/>
    </row>
    <row r="327" spans="1:7">
      <c r="E327" s="104"/>
    </row>
    <row r="328" spans="1:7">
      <c r="B328" s="2" t="s">
        <v>59</v>
      </c>
      <c r="C328" s="1">
        <v>1</v>
      </c>
      <c r="E328" s="101">
        <v>0</v>
      </c>
      <c r="G328" s="69">
        <f>C328*E328</f>
        <v>0</v>
      </c>
    </row>
    <row r="329" spans="1:7">
      <c r="E329" s="104"/>
    </row>
    <row r="330" spans="1:7" ht="45">
      <c r="A330" s="3" t="s">
        <v>46</v>
      </c>
      <c r="B330" s="2" t="s">
        <v>142</v>
      </c>
      <c r="E330" s="104"/>
    </row>
    <row r="331" spans="1:7">
      <c r="E331" s="104"/>
    </row>
    <row r="332" spans="1:7">
      <c r="A332" s="3" t="s">
        <v>114</v>
      </c>
      <c r="B332" s="2" t="s">
        <v>143</v>
      </c>
      <c r="C332" s="1">
        <f>62*0.8+0.4</f>
        <v>50</v>
      </c>
      <c r="E332" s="101">
        <v>0</v>
      </c>
      <c r="G332" s="69">
        <f t="shared" ref="G332:G345" si="3">C332*E332</f>
        <v>0</v>
      </c>
    </row>
    <row r="333" spans="1:7">
      <c r="E333" s="104"/>
    </row>
    <row r="334" spans="1:7">
      <c r="A334" s="3" t="s">
        <v>115</v>
      </c>
      <c r="B334" s="2" t="s">
        <v>144</v>
      </c>
      <c r="C334" s="1">
        <f>22*0.8+0.4</f>
        <v>18</v>
      </c>
      <c r="E334" s="101">
        <v>0</v>
      </c>
      <c r="G334" s="69">
        <f t="shared" si="3"/>
        <v>0</v>
      </c>
    </row>
    <row r="335" spans="1:7">
      <c r="E335" s="104"/>
    </row>
    <row r="336" spans="1:7">
      <c r="E336" s="104"/>
    </row>
    <row r="337" spans="1:7" ht="45">
      <c r="A337" s="3" t="s">
        <v>50</v>
      </c>
      <c r="B337" s="2" t="s">
        <v>192</v>
      </c>
      <c r="E337" s="104"/>
    </row>
    <row r="338" spans="1:7">
      <c r="E338" s="104"/>
    </row>
    <row r="339" spans="1:7">
      <c r="B339" s="2" t="s">
        <v>59</v>
      </c>
      <c r="C339" s="1">
        <v>10</v>
      </c>
      <c r="E339" s="101">
        <v>0</v>
      </c>
      <c r="G339" s="69">
        <f>C339*E339</f>
        <v>0</v>
      </c>
    </row>
    <row r="340" spans="1:7">
      <c r="E340" s="104"/>
    </row>
    <row r="341" spans="1:7" ht="195" customHeight="1">
      <c r="A341" s="3" t="s">
        <v>52</v>
      </c>
      <c r="B341" s="2" t="s">
        <v>184</v>
      </c>
      <c r="E341" s="104"/>
    </row>
    <row r="342" spans="1:7">
      <c r="E342" s="104"/>
    </row>
    <row r="343" spans="1:7">
      <c r="A343" s="3" t="s">
        <v>114</v>
      </c>
      <c r="B343" s="2" t="s">
        <v>146</v>
      </c>
      <c r="C343" s="1">
        <f>C332</f>
        <v>50</v>
      </c>
      <c r="E343" s="101">
        <v>0</v>
      </c>
      <c r="G343" s="69">
        <f t="shared" si="3"/>
        <v>0</v>
      </c>
    </row>
    <row r="344" spans="1:7">
      <c r="E344" s="104"/>
    </row>
    <row r="345" spans="1:7">
      <c r="A345" s="3" t="s">
        <v>115</v>
      </c>
      <c r="B345" s="2" t="s">
        <v>147</v>
      </c>
      <c r="C345" s="1">
        <f>C334</f>
        <v>18</v>
      </c>
      <c r="E345" s="101">
        <v>0</v>
      </c>
      <c r="G345" s="69">
        <f t="shared" si="3"/>
        <v>0</v>
      </c>
    </row>
    <row r="346" spans="1:7">
      <c r="E346" s="104"/>
    </row>
    <row r="347" spans="1:7" ht="15.75" thickBot="1">
      <c r="A347" s="79"/>
      <c r="B347" s="81" t="s">
        <v>153</v>
      </c>
      <c r="C347" s="82"/>
      <c r="D347" s="83"/>
      <c r="E347" s="109"/>
      <c r="F347" s="75" t="s">
        <v>41</v>
      </c>
      <c r="G347" s="85">
        <f>SUM(G320:G346)</f>
        <v>0</v>
      </c>
    </row>
    <row r="348" spans="1:7" ht="15.75" thickTop="1">
      <c r="B348" s="20"/>
      <c r="C348" s="31"/>
      <c r="D348" s="26"/>
      <c r="E348" s="106"/>
      <c r="F348" s="33"/>
      <c r="G348" s="32"/>
    </row>
    <row r="349" spans="1:7">
      <c r="A349" s="5" t="s">
        <v>136</v>
      </c>
      <c r="B349" s="6" t="s">
        <v>137</v>
      </c>
      <c r="E349" s="104"/>
      <c r="F349" s="34"/>
    </row>
    <row r="350" spans="1:7">
      <c r="E350" s="104"/>
      <c r="F350" s="34"/>
    </row>
    <row r="351" spans="1:7" ht="135">
      <c r="A351" s="3" t="s">
        <v>111</v>
      </c>
      <c r="B351" s="2" t="s">
        <v>140</v>
      </c>
      <c r="E351" s="104"/>
      <c r="F351" s="34"/>
    </row>
    <row r="352" spans="1:7">
      <c r="E352" s="104"/>
      <c r="F352" s="34"/>
    </row>
    <row r="353" spans="1:7" ht="90">
      <c r="A353" s="3" t="s">
        <v>19</v>
      </c>
      <c r="B353" s="17" t="s">
        <v>156</v>
      </c>
      <c r="E353" s="104"/>
      <c r="F353" s="34"/>
    </row>
    <row r="354" spans="1:7">
      <c r="B354" s="21"/>
      <c r="E354" s="104"/>
      <c r="F354" s="34"/>
    </row>
    <row r="355" spans="1:7">
      <c r="B355" s="2" t="s">
        <v>45</v>
      </c>
      <c r="C355" s="1">
        <f>C136</f>
        <v>1751.0000000000002</v>
      </c>
      <c r="E355" s="101">
        <v>0</v>
      </c>
      <c r="F355" s="34"/>
      <c r="G355" s="69">
        <f>C355*E355</f>
        <v>0</v>
      </c>
    </row>
    <row r="356" spans="1:7">
      <c r="E356" s="104"/>
      <c r="F356" s="34"/>
    </row>
    <row r="357" spans="1:7" ht="90" customHeight="1">
      <c r="A357" s="3" t="s">
        <v>154</v>
      </c>
      <c r="B357" s="17" t="s">
        <v>155</v>
      </c>
      <c r="E357" s="104"/>
      <c r="F357" s="34"/>
    </row>
    <row r="358" spans="1:7">
      <c r="E358" s="104"/>
      <c r="F358" s="34"/>
    </row>
    <row r="359" spans="1:7">
      <c r="B359" s="2" t="s">
        <v>45</v>
      </c>
      <c r="C359" s="1">
        <f>C355</f>
        <v>1751.0000000000002</v>
      </c>
      <c r="E359" s="101">
        <v>0</v>
      </c>
      <c r="F359" s="34"/>
      <c r="G359" s="69">
        <f>C359*E359</f>
        <v>0</v>
      </c>
    </row>
    <row r="360" spans="1:7">
      <c r="E360" s="104"/>
      <c r="F360" s="34"/>
    </row>
    <row r="361" spans="1:7" ht="255">
      <c r="A361" s="3" t="s">
        <v>50</v>
      </c>
      <c r="B361" s="17" t="s">
        <v>173</v>
      </c>
      <c r="E361" s="104"/>
      <c r="F361" s="34"/>
    </row>
    <row r="362" spans="1:7">
      <c r="B362" s="17"/>
      <c r="E362" s="104"/>
      <c r="F362" s="34"/>
    </row>
    <row r="363" spans="1:7">
      <c r="A363" s="3" t="s">
        <v>114</v>
      </c>
      <c r="B363" s="17" t="s">
        <v>157</v>
      </c>
      <c r="C363" s="1">
        <f>62-C332</f>
        <v>12</v>
      </c>
      <c r="E363" s="101">
        <v>0</v>
      </c>
      <c r="F363" s="34"/>
      <c r="G363" s="69">
        <f>C363*E363</f>
        <v>0</v>
      </c>
    </row>
    <row r="364" spans="1:7">
      <c r="B364" s="17"/>
      <c r="E364" s="104"/>
      <c r="F364" s="34"/>
    </row>
    <row r="365" spans="1:7">
      <c r="A365" s="3" t="s">
        <v>115</v>
      </c>
      <c r="B365" s="17" t="s">
        <v>147</v>
      </c>
      <c r="C365" s="1">
        <f>22-C334</f>
        <v>4</v>
      </c>
      <c r="E365" s="101">
        <v>0</v>
      </c>
      <c r="F365" s="34"/>
      <c r="G365" s="69">
        <f>C365*E365</f>
        <v>0</v>
      </c>
    </row>
    <row r="366" spans="1:7">
      <c r="B366" s="17"/>
      <c r="E366" s="104"/>
      <c r="F366" s="34"/>
    </row>
    <row r="367" spans="1:7" ht="60">
      <c r="A367" s="3" t="s">
        <v>52</v>
      </c>
      <c r="B367" s="17" t="s">
        <v>201</v>
      </c>
      <c r="E367" s="104"/>
      <c r="F367" s="34"/>
    </row>
    <row r="368" spans="1:7">
      <c r="B368" s="17"/>
      <c r="E368" s="104"/>
      <c r="F368" s="34"/>
    </row>
    <row r="369" spans="1:7">
      <c r="B369" s="17" t="s">
        <v>202</v>
      </c>
      <c r="C369" s="1">
        <v>8</v>
      </c>
      <c r="E369" s="101">
        <v>0</v>
      </c>
      <c r="F369" s="34"/>
      <c r="G369" s="69">
        <f>C369*E369</f>
        <v>0</v>
      </c>
    </row>
    <row r="370" spans="1:7">
      <c r="B370" s="17"/>
      <c r="E370" s="104"/>
      <c r="F370" s="34"/>
    </row>
    <row r="371" spans="1:7" ht="45">
      <c r="A371" s="3" t="s">
        <v>54</v>
      </c>
      <c r="B371" s="17" t="s">
        <v>158</v>
      </c>
      <c r="E371" s="104"/>
      <c r="F371" s="34"/>
    </row>
    <row r="372" spans="1:7">
      <c r="B372" s="17"/>
      <c r="E372" s="104"/>
      <c r="F372" s="34"/>
    </row>
    <row r="373" spans="1:7">
      <c r="B373" s="17" t="s">
        <v>45</v>
      </c>
      <c r="C373" s="1">
        <v>1</v>
      </c>
      <c r="E373" s="101">
        <v>0</v>
      </c>
      <c r="F373" s="34"/>
      <c r="G373" s="69">
        <f>C373*E373</f>
        <v>0</v>
      </c>
    </row>
    <row r="374" spans="1:7">
      <c r="B374" s="17"/>
      <c r="E374" s="104"/>
      <c r="F374" s="34"/>
    </row>
    <row r="375" spans="1:7" ht="15.75" thickBot="1">
      <c r="A375" s="79"/>
      <c r="B375" s="74" t="s">
        <v>160</v>
      </c>
      <c r="C375" s="75"/>
      <c r="D375" s="76"/>
      <c r="E375" s="103"/>
      <c r="F375" s="86" t="s">
        <v>41</v>
      </c>
      <c r="G375" s="75">
        <f>SUM(G349:G374)</f>
        <v>0</v>
      </c>
    </row>
    <row r="376" spans="1:7" ht="15.75" thickTop="1">
      <c r="F376" s="34"/>
    </row>
    <row r="377" spans="1:7">
      <c r="A377" s="5" t="s">
        <v>161</v>
      </c>
      <c r="B377" s="6" t="s">
        <v>162</v>
      </c>
    </row>
    <row r="379" spans="1:7" ht="120">
      <c r="A379" s="3">
        <v>1</v>
      </c>
      <c r="B379" s="2" t="s">
        <v>163</v>
      </c>
      <c r="G379" s="71">
        <f>(G90+G252+G259+G293+G318+G347+G375)*0.1</f>
        <v>0</v>
      </c>
    </row>
    <row r="380" spans="1:7" ht="15.75" thickBot="1">
      <c r="G380" s="41"/>
    </row>
    <row r="381" spans="1:7">
      <c r="A381" s="18"/>
      <c r="B381" s="15" t="s">
        <v>164</v>
      </c>
      <c r="C381" s="16"/>
      <c r="D381" s="29"/>
      <c r="E381" s="16"/>
      <c r="F381" s="16" t="s">
        <v>41</v>
      </c>
      <c r="G381" s="16">
        <f>G379</f>
        <v>0</v>
      </c>
    </row>
    <row r="382" spans="1:7">
      <c r="A382" s="42"/>
      <c r="B382" s="43"/>
      <c r="C382" s="44"/>
      <c r="D382" s="45"/>
      <c r="E382" s="44"/>
      <c r="F382" s="44"/>
      <c r="G382" s="44"/>
    </row>
    <row r="384" spans="1:7">
      <c r="A384" s="95"/>
      <c r="B384" s="96" t="s">
        <v>165</v>
      </c>
    </row>
    <row r="386" spans="1:7">
      <c r="A386" s="3" t="s">
        <v>17</v>
      </c>
      <c r="B386" s="2" t="s">
        <v>18</v>
      </c>
      <c r="G386" s="69">
        <f>G90</f>
        <v>0</v>
      </c>
    </row>
    <row r="388" spans="1:7">
      <c r="A388" s="3" t="s">
        <v>42</v>
      </c>
      <c r="B388" s="2" t="s">
        <v>43</v>
      </c>
      <c r="G388" s="69">
        <f>G252</f>
        <v>0</v>
      </c>
    </row>
    <row r="390" spans="1:7">
      <c r="A390" s="3" t="s">
        <v>105</v>
      </c>
      <c r="B390" s="2" t="s">
        <v>106</v>
      </c>
      <c r="G390" s="69">
        <f>G259</f>
        <v>0</v>
      </c>
    </row>
    <row r="392" spans="1:7">
      <c r="A392" s="3" t="s">
        <v>109</v>
      </c>
      <c r="B392" s="2" t="s">
        <v>110</v>
      </c>
      <c r="G392" s="69">
        <f>G293</f>
        <v>0</v>
      </c>
    </row>
    <row r="394" spans="1:7">
      <c r="A394" s="3" t="s">
        <v>125</v>
      </c>
      <c r="B394" s="2" t="s">
        <v>126</v>
      </c>
      <c r="G394" s="69">
        <f>G318</f>
        <v>0</v>
      </c>
    </row>
    <row r="396" spans="1:7">
      <c r="A396" s="3" t="s">
        <v>134</v>
      </c>
      <c r="B396" s="2" t="s">
        <v>135</v>
      </c>
      <c r="G396" s="69">
        <f>G347</f>
        <v>0</v>
      </c>
    </row>
    <row r="398" spans="1:7">
      <c r="A398" s="3" t="s">
        <v>136</v>
      </c>
      <c r="B398" s="2" t="s">
        <v>166</v>
      </c>
      <c r="G398" s="69">
        <f>G375</f>
        <v>0</v>
      </c>
    </row>
    <row r="400" spans="1:7">
      <c r="A400" s="3" t="s">
        <v>161</v>
      </c>
      <c r="B400" s="2" t="s">
        <v>167</v>
      </c>
      <c r="G400" s="69">
        <f>G381</f>
        <v>0</v>
      </c>
    </row>
    <row r="401" spans="1:7">
      <c r="C401" s="72"/>
      <c r="D401" s="78"/>
      <c r="E401" s="72"/>
      <c r="F401" s="72"/>
    </row>
    <row r="402" spans="1:7" ht="15.75" thickBot="1">
      <c r="A402" s="73"/>
      <c r="B402" s="74" t="s">
        <v>168</v>
      </c>
      <c r="C402" s="88"/>
      <c r="D402" s="89"/>
      <c r="E402" s="88"/>
      <c r="F402" s="88"/>
      <c r="G402" s="75">
        <f>SUM(G386:G400)</f>
        <v>0</v>
      </c>
    </row>
    <row r="403" spans="1:7" ht="15.75" thickTop="1"/>
  </sheetData>
  <sheetProtection algorithmName="SHA-512" hashValue="copYzIQ6kkU4kBlkm4FhjWpdtZ1cBPSB/G7OZ9DI6O25dgxM8gwMRA1vm/frRPUsk6QUho6HZ127edfUwN6hMA==" saltValue="Y6GHDE01X9KpYx5qq7aAEQ==" spinCount="100000" sheet="1" objects="1" scenarios="1" selectLockedCells="1"/>
  <mergeCells count="1">
    <mergeCell ref="A2:G2"/>
  </mergeCells>
  <pageMargins left="0.9055118110236221" right="0.51181102362204722" top="0.6692913385826772" bottom="0.55118110236220474" header="0.31496062992125984" footer="0.31496062992125984"/>
  <pageSetup paperSize="9" scale="9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4CA551-BDD6-4FE3-B0D5-8B94ED556528}">
  <sheetPr>
    <tabColor rgb="FFFF0000"/>
  </sheetPr>
  <dimension ref="B1:I36"/>
  <sheetViews>
    <sheetView showGridLines="0" view="pageBreakPreview" zoomScale="120" zoomScaleNormal="100" zoomScaleSheetLayoutView="120" workbookViewId="0">
      <selection activeCell="C20" sqref="C20"/>
    </sheetView>
  </sheetViews>
  <sheetFormatPr defaultRowHeight="15"/>
  <cols>
    <col min="1" max="1" width="3.42578125" customWidth="1"/>
    <col min="2" max="2" width="4.42578125" customWidth="1"/>
    <col min="3" max="3" width="50.140625" bestFit="1" customWidth="1"/>
    <col min="5" max="5" width="14.28515625" style="65" customWidth="1"/>
    <col min="6" max="6" width="14.140625" customWidth="1"/>
    <col min="7" max="7" width="16.140625" customWidth="1"/>
    <col min="8" max="8" width="10.140625" style="58" customWidth="1"/>
    <col min="9" max="9" width="11.140625" style="59" bestFit="1" customWidth="1"/>
    <col min="10" max="10" width="10" bestFit="1" customWidth="1"/>
  </cols>
  <sheetData>
    <row r="1" spans="2:8" ht="19.5">
      <c r="B1" s="47" t="s">
        <v>342</v>
      </c>
      <c r="C1" s="47"/>
      <c r="D1" s="48"/>
      <c r="E1" s="113" t="s">
        <v>365</v>
      </c>
      <c r="F1" s="48"/>
      <c r="G1" s="48"/>
      <c r="H1" s="57"/>
    </row>
    <row r="2" spans="2:8" ht="18.75">
      <c r="B2" s="47"/>
      <c r="C2" s="47"/>
      <c r="D2" s="48"/>
      <c r="E2" s="64"/>
      <c r="F2" s="48"/>
      <c r="G2" s="48"/>
      <c r="H2" s="57"/>
    </row>
    <row r="3" spans="2:8" ht="18.75">
      <c r="B3" s="47"/>
      <c r="C3" s="47"/>
      <c r="D3" s="48"/>
      <c r="E3" s="64"/>
      <c r="F3" s="48"/>
      <c r="G3" s="48"/>
      <c r="H3" s="57"/>
    </row>
    <row r="4" spans="2:8" ht="18.75">
      <c r="B4" s="47"/>
      <c r="C4" s="47"/>
      <c r="D4" s="48"/>
      <c r="E4" s="64"/>
      <c r="F4" s="48"/>
      <c r="G4" s="48"/>
      <c r="H4" s="57"/>
    </row>
    <row r="5" spans="2:8" ht="18.75">
      <c r="B5" s="47"/>
      <c r="C5" s="47"/>
      <c r="D5" s="48"/>
      <c r="E5" s="64"/>
      <c r="F5" s="48"/>
      <c r="G5" s="48"/>
      <c r="H5" s="57"/>
    </row>
    <row r="6" spans="2:8" ht="18.75">
      <c r="B6" s="47"/>
      <c r="C6" s="47"/>
      <c r="D6" s="48"/>
      <c r="E6" s="64"/>
      <c r="F6" s="48"/>
      <c r="G6" s="48"/>
      <c r="H6" s="57"/>
    </row>
    <row r="7" spans="2:8" ht="18.75">
      <c r="B7" s="47"/>
      <c r="C7" s="47"/>
      <c r="D7" s="48"/>
      <c r="E7" s="64"/>
      <c r="F7" s="48"/>
      <c r="G7" s="48"/>
      <c r="H7" s="57"/>
    </row>
    <row r="8" spans="2:8" ht="18.75">
      <c r="B8" s="47"/>
      <c r="C8" s="47"/>
      <c r="D8" s="48"/>
      <c r="E8" s="64"/>
      <c r="F8" s="48"/>
      <c r="G8" s="48"/>
      <c r="H8" s="57"/>
    </row>
    <row r="9" spans="2:8" ht="18.75">
      <c r="B9" s="47"/>
      <c r="C9" s="47"/>
      <c r="D9" s="48"/>
      <c r="E9" s="64"/>
      <c r="F9" s="48"/>
      <c r="G9" s="48"/>
      <c r="H9" s="57"/>
    </row>
    <row r="10" spans="2:8" ht="18.75">
      <c r="B10" s="47"/>
      <c r="C10" s="47"/>
      <c r="D10" s="48"/>
      <c r="E10" s="64"/>
      <c r="F10" s="48"/>
      <c r="G10" s="48"/>
      <c r="H10" s="57"/>
    </row>
    <row r="11" spans="2:8" ht="18.75">
      <c r="B11" s="47"/>
      <c r="C11" s="47"/>
      <c r="D11" s="48"/>
      <c r="E11" s="64"/>
      <c r="F11" s="48"/>
      <c r="G11" s="48"/>
      <c r="H11" s="57"/>
    </row>
    <row r="12" spans="2:8" ht="18.75">
      <c r="B12" s="47"/>
      <c r="C12" s="47"/>
      <c r="D12" s="48"/>
      <c r="E12" s="64"/>
      <c r="F12" s="48"/>
      <c r="G12" s="48"/>
      <c r="H12" s="57"/>
    </row>
    <row r="13" spans="2:8" ht="18.75">
      <c r="B13" s="47"/>
      <c r="C13" s="47"/>
      <c r="D13" s="48"/>
      <c r="E13" s="64"/>
      <c r="F13" s="48"/>
      <c r="G13" s="48"/>
      <c r="H13" s="57"/>
    </row>
    <row r="14" spans="2:8" ht="18.75">
      <c r="B14" s="47"/>
      <c r="C14" s="47"/>
      <c r="D14" s="48"/>
      <c r="E14" s="64"/>
      <c r="F14" s="48"/>
      <c r="G14" s="48"/>
      <c r="H14" s="57"/>
    </row>
    <row r="15" spans="2:8" ht="18.75">
      <c r="B15" s="47"/>
      <c r="C15" s="47"/>
      <c r="D15" s="48"/>
      <c r="E15" s="64"/>
      <c r="F15" s="48"/>
      <c r="G15" s="48"/>
      <c r="H15" s="57"/>
    </row>
    <row r="16" spans="2:8" ht="18.75">
      <c r="B16" s="47"/>
      <c r="C16" s="47"/>
      <c r="D16" s="48"/>
      <c r="E16" s="64"/>
      <c r="F16" s="48"/>
      <c r="G16" s="48"/>
      <c r="H16" s="57"/>
    </row>
    <row r="17" spans="2:8" ht="18.75">
      <c r="B17" s="47"/>
      <c r="C17" s="47"/>
      <c r="D17" s="48"/>
      <c r="E17" s="64"/>
      <c r="F17" s="48"/>
      <c r="G17" s="48"/>
      <c r="H17" s="57"/>
    </row>
    <row r="18" spans="2:8" ht="18.75">
      <c r="B18" s="47"/>
      <c r="C18" s="47"/>
      <c r="D18" s="48"/>
      <c r="E18" s="64"/>
      <c r="F18" s="48"/>
      <c r="G18" s="48"/>
      <c r="H18" s="57"/>
    </row>
    <row r="19" spans="2:8" ht="18.75">
      <c r="B19" s="47" t="s">
        <v>343</v>
      </c>
    </row>
    <row r="20" spans="2:8">
      <c r="E20" s="65" t="s">
        <v>339</v>
      </c>
    </row>
    <row r="22" spans="2:8">
      <c r="B22" t="s">
        <v>19</v>
      </c>
      <c r="C22" t="str">
        <f>'Gestrinova 5,7,8-atrijska stran'!A1</f>
        <v xml:space="preserve">Sanacija fasade Gestrinova 5,7 in 8 -atrijska stran </v>
      </c>
      <c r="E22" s="66">
        <f>'Gestrinova 5,7,8-atrijska stran'!G366</f>
        <v>0</v>
      </c>
    </row>
    <row r="24" spans="2:8">
      <c r="B24" t="s">
        <v>46</v>
      </c>
      <c r="C24" t="str">
        <f>'Gestrinova 2,4,6-atrijska stran'!A1</f>
        <v xml:space="preserve">Sanacija fasade Gestrinova 2,4 in 6 -atrijska stran </v>
      </c>
      <c r="E24" s="66">
        <f>'Gestrinova 2,4,6-atrijska stran'!G336</f>
        <v>0</v>
      </c>
    </row>
    <row r="26" spans="2:8">
      <c r="B26" t="s">
        <v>50</v>
      </c>
      <c r="C26" t="str">
        <f>'Gestrinova 3-atrijska stran'!A1</f>
        <v xml:space="preserve">Sanacija fasade Gestrinova 3 -atrijska stran </v>
      </c>
      <c r="E26" s="66">
        <f>'Gestrinova 3-atrijska stran'!G303</f>
        <v>0</v>
      </c>
    </row>
    <row r="28" spans="2:8">
      <c r="B28" t="s">
        <v>52</v>
      </c>
      <c r="C28" t="str">
        <f>'Poljanska cesta 15-atrij.stran'!A1</f>
        <v xml:space="preserve">Sanacija fasade Poljanska cesta 15- cestna in atrijska stran </v>
      </c>
      <c r="E28" s="66">
        <f>'Poljanska cesta 15-atrij.stran'!G330</f>
        <v>0</v>
      </c>
    </row>
    <row r="30" spans="2:8">
      <c r="B30" t="s">
        <v>54</v>
      </c>
      <c r="C30" t="str">
        <f>Garaže!A1</f>
        <v>Sanacija fasade GARAŽNEGA OBJEKTA</v>
      </c>
      <c r="E30" s="66">
        <f>Garaže!G303</f>
        <v>0</v>
      </c>
    </row>
    <row r="32" spans="2:8">
      <c r="B32" t="s">
        <v>57</v>
      </c>
      <c r="C32" t="str">
        <f>'Pasaže A,B,C,D in E'!A1</f>
        <v>Sanacija fasade v PASAŽAH A, B, C, D in E</v>
      </c>
      <c r="E32" s="66">
        <f>'Pasaže A,B,C,D in E'!G286</f>
        <v>0</v>
      </c>
    </row>
    <row r="33" spans="2:9">
      <c r="B33" s="61"/>
      <c r="C33" s="61"/>
      <c r="D33" s="61"/>
      <c r="E33" s="66"/>
    </row>
    <row r="35" spans="2:9" s="19" customFormat="1" ht="15.75" thickBot="1">
      <c r="B35" s="67"/>
      <c r="C35" s="67" t="s">
        <v>346</v>
      </c>
      <c r="D35" s="67"/>
      <c r="E35" s="68">
        <f>SUM(E22:E33)</f>
        <v>0</v>
      </c>
      <c r="H35" s="62"/>
      <c r="I35" s="63"/>
    </row>
    <row r="36" spans="2:9" ht="15.75" thickTop="1"/>
  </sheetData>
  <sheetProtection algorithmName="SHA-512" hashValue="gHIBK/KuWvQfrFNZYcC+kTs/tcHTQqOU4iPTccRuu1Uw/LXatlKifHE4YrEzfQV9ew9rfD8b4lT4tTjga2MSag==" saltValue="FaNxHYq5zID6P3nEiAUjYw==" spinCount="100000" sheet="1" objects="1" scenarios="1"/>
  <pageMargins left="0.9055118110236221" right="0.51181102362204722" top="0.6692913385826772" bottom="0.55118110236220474" header="0.31496062992125984" footer="0.31496062992125984"/>
  <pageSetup paperSize="9" scale="90"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F7C01F-B5B2-4E3A-A369-E7FA1374441C}">
  <sheetPr>
    <tabColor rgb="FFFF0000"/>
  </sheetPr>
  <dimension ref="A1:G367"/>
  <sheetViews>
    <sheetView showGridLines="0" view="pageBreakPreview" zoomScaleNormal="100" zoomScaleSheetLayoutView="100" workbookViewId="0">
      <selection activeCell="E339" sqref="E98:E339"/>
    </sheetView>
  </sheetViews>
  <sheetFormatPr defaultRowHeight="15"/>
  <cols>
    <col min="1" max="1" width="10.5703125" style="3" customWidth="1"/>
    <col min="2" max="2" width="44" style="2" customWidth="1"/>
    <col min="3" max="3" width="10.85546875" style="1" customWidth="1"/>
    <col min="4" max="4" width="3.7109375" style="28" customWidth="1"/>
    <col min="5" max="5" width="10.140625" style="1" bestFit="1" customWidth="1"/>
    <col min="6" max="6" width="4.85546875" style="1" customWidth="1"/>
    <col min="7" max="7" width="11.28515625" style="1" customWidth="1"/>
  </cols>
  <sheetData>
    <row r="1" spans="1:7" ht="19.5">
      <c r="A1" s="47" t="s">
        <v>355</v>
      </c>
      <c r="C1" s="48"/>
      <c r="D1" s="49"/>
      <c r="E1" s="48"/>
      <c r="F1" s="48"/>
      <c r="G1" s="114" t="s">
        <v>365</v>
      </c>
    </row>
    <row r="2" spans="1:7" ht="15.75" customHeight="1">
      <c r="A2" s="118" t="s">
        <v>366</v>
      </c>
      <c r="B2" s="118"/>
      <c r="C2" s="118"/>
      <c r="D2" s="118"/>
      <c r="E2" s="118"/>
      <c r="F2" s="118"/>
      <c r="G2" s="118"/>
    </row>
    <row r="3" spans="1:7" ht="18.75">
      <c r="A3" s="11"/>
      <c r="B3" s="12"/>
    </row>
    <row r="4" spans="1:7" ht="18.75">
      <c r="A4" s="5" t="s">
        <v>37</v>
      </c>
      <c r="B4" s="12"/>
    </row>
    <row r="5" spans="1:7" ht="18.75">
      <c r="A5" s="5"/>
      <c r="B5" s="12"/>
    </row>
    <row r="20" spans="1:1">
      <c r="A20" s="3" t="s">
        <v>193</v>
      </c>
    </row>
    <row r="43" spans="1:1">
      <c r="A43" s="3" t="s">
        <v>203</v>
      </c>
    </row>
    <row r="60" spans="1:2" ht="7.5" customHeight="1"/>
    <row r="61" spans="1:2">
      <c r="A61" s="3" t="s">
        <v>204</v>
      </c>
    </row>
    <row r="63" spans="1:2">
      <c r="A63" s="5" t="s">
        <v>0</v>
      </c>
      <c r="B63" s="6"/>
    </row>
    <row r="65" spans="1:2" ht="75">
      <c r="A65" s="3" t="s">
        <v>1</v>
      </c>
      <c r="B65" s="2" t="s">
        <v>2</v>
      </c>
    </row>
    <row r="66" spans="1:2" ht="45">
      <c r="A66" s="4" t="s">
        <v>3</v>
      </c>
      <c r="B66" s="2" t="s">
        <v>176</v>
      </c>
    </row>
    <row r="67" spans="1:2" ht="60">
      <c r="A67" s="4" t="s">
        <v>1</v>
      </c>
      <c r="B67" s="2" t="s">
        <v>5</v>
      </c>
    </row>
    <row r="68" spans="1:2" ht="90">
      <c r="A68" s="4" t="s">
        <v>1</v>
      </c>
      <c r="B68" s="2" t="s">
        <v>6</v>
      </c>
    </row>
    <row r="69" spans="1:2" ht="90">
      <c r="A69" s="4" t="s">
        <v>1</v>
      </c>
      <c r="B69" s="2" t="s">
        <v>74</v>
      </c>
    </row>
    <row r="70" spans="1:2" ht="75">
      <c r="A70" s="4" t="s">
        <v>1</v>
      </c>
      <c r="B70" s="2" t="s">
        <v>7</v>
      </c>
    </row>
    <row r="71" spans="1:2" ht="105.75" customHeight="1">
      <c r="A71" s="4" t="s">
        <v>1</v>
      </c>
      <c r="B71" s="2" t="s">
        <v>8</v>
      </c>
    </row>
    <row r="72" spans="1:2" ht="75">
      <c r="A72" s="4" t="s">
        <v>1</v>
      </c>
      <c r="B72" s="2" t="s">
        <v>9</v>
      </c>
    </row>
    <row r="73" spans="1:2" ht="45">
      <c r="A73" s="4" t="s">
        <v>1</v>
      </c>
      <c r="B73" s="2" t="s">
        <v>10</v>
      </c>
    </row>
    <row r="74" spans="1:2" ht="75">
      <c r="A74" s="4" t="s">
        <v>1</v>
      </c>
      <c r="B74" s="2" t="s">
        <v>12</v>
      </c>
    </row>
    <row r="75" spans="1:2" ht="60">
      <c r="A75" s="4" t="s">
        <v>1</v>
      </c>
      <c r="B75" s="2" t="s">
        <v>15</v>
      </c>
    </row>
    <row r="76" spans="1:2" ht="90" customHeight="1">
      <c r="A76" s="4" t="s">
        <v>1</v>
      </c>
      <c r="B76" s="2" t="s">
        <v>16</v>
      </c>
    </row>
    <row r="78" spans="1:2">
      <c r="A78" s="5" t="s">
        <v>17</v>
      </c>
      <c r="B78" s="6" t="s">
        <v>18</v>
      </c>
    </row>
    <row r="80" spans="1:2">
      <c r="A80" s="3" t="s">
        <v>19</v>
      </c>
      <c r="B80" s="7" t="s">
        <v>205</v>
      </c>
    </row>
    <row r="81" spans="2:2" ht="75">
      <c r="B81" s="8" t="s">
        <v>21</v>
      </c>
    </row>
    <row r="82" spans="2:2" ht="105">
      <c r="B82" s="8" t="s">
        <v>22</v>
      </c>
    </row>
    <row r="83" spans="2:2">
      <c r="B83" s="9" t="s">
        <v>23</v>
      </c>
    </row>
    <row r="84" spans="2:2" ht="30">
      <c r="B84" s="9" t="s">
        <v>24</v>
      </c>
    </row>
    <row r="85" spans="2:2" ht="45">
      <c r="B85" s="9" t="s">
        <v>25</v>
      </c>
    </row>
    <row r="86" spans="2:2" ht="60">
      <c r="B86" s="9" t="s">
        <v>32</v>
      </c>
    </row>
    <row r="87" spans="2:2" ht="45">
      <c r="B87" s="9" t="s">
        <v>33</v>
      </c>
    </row>
    <row r="88" spans="2:2" ht="75">
      <c r="B88" s="9" t="s">
        <v>34</v>
      </c>
    </row>
    <row r="89" spans="2:2" ht="30">
      <c r="B89" s="9" t="s">
        <v>26</v>
      </c>
    </row>
    <row r="90" spans="2:2" ht="30">
      <c r="B90" s="9" t="s">
        <v>27</v>
      </c>
    </row>
    <row r="91" spans="2:2" ht="45">
      <c r="B91" s="9" t="s">
        <v>28</v>
      </c>
    </row>
    <row r="92" spans="2:2" ht="60">
      <c r="B92" s="9" t="s">
        <v>29</v>
      </c>
    </row>
    <row r="93" spans="2:2">
      <c r="B93" s="9" t="s">
        <v>30</v>
      </c>
    </row>
    <row r="94" spans="2:2">
      <c r="B94" s="9" t="s">
        <v>31</v>
      </c>
    </row>
    <row r="96" spans="2:2" ht="30">
      <c r="B96" s="10" t="s">
        <v>35</v>
      </c>
    </row>
    <row r="98" spans="1:7">
      <c r="B98" s="2" t="s">
        <v>36</v>
      </c>
      <c r="C98" s="1">
        <v>1</v>
      </c>
      <c r="E98" s="101">
        <v>0</v>
      </c>
      <c r="G98" s="69">
        <f>C98*E98</f>
        <v>0</v>
      </c>
    </row>
    <row r="99" spans="1:7">
      <c r="E99" s="104"/>
    </row>
    <row r="100" spans="1:7" ht="15.75" thickBot="1">
      <c r="A100" s="73"/>
      <c r="B100" s="74" t="s">
        <v>40</v>
      </c>
      <c r="C100" s="75"/>
      <c r="D100" s="76"/>
      <c r="E100" s="103"/>
      <c r="F100" s="75" t="s">
        <v>41</v>
      </c>
      <c r="G100" s="75">
        <f>SUM(G78:G99)</f>
        <v>0</v>
      </c>
    </row>
    <row r="101" spans="1:7" ht="15.75" thickTop="1">
      <c r="E101" s="104"/>
    </row>
    <row r="102" spans="1:7">
      <c r="A102" s="5" t="s">
        <v>42</v>
      </c>
      <c r="B102" s="6" t="s">
        <v>43</v>
      </c>
      <c r="E102" s="104"/>
    </row>
    <row r="103" spans="1:7">
      <c r="E103" s="104"/>
    </row>
    <row r="104" spans="1:7" ht="45">
      <c r="A104" s="3" t="s">
        <v>19</v>
      </c>
      <c r="B104" s="2" t="s">
        <v>48</v>
      </c>
      <c r="E104" s="104"/>
    </row>
    <row r="105" spans="1:7">
      <c r="E105" s="104"/>
    </row>
    <row r="106" spans="1:7">
      <c r="B106" s="2" t="s">
        <v>45</v>
      </c>
      <c r="C106" s="1">
        <f>(2*1+32.8+2*1+2*7.5)*17.3*1.05+0.22-0.17+14.7*5.3*0.5+0.05</f>
        <v>980.00200000000007</v>
      </c>
      <c r="E106" s="101">
        <v>0</v>
      </c>
      <c r="G106" s="69">
        <f>C106*E106</f>
        <v>0</v>
      </c>
    </row>
    <row r="107" spans="1:7">
      <c r="E107" s="104"/>
    </row>
    <row r="108" spans="1:7" ht="30">
      <c r="A108" s="3" t="s">
        <v>46</v>
      </c>
      <c r="B108" s="2" t="s">
        <v>206</v>
      </c>
      <c r="E108" s="104"/>
    </row>
    <row r="109" spans="1:7">
      <c r="E109" s="104"/>
    </row>
    <row r="110" spans="1:7">
      <c r="B110" s="2" t="s">
        <v>45</v>
      </c>
      <c r="C110" s="1">
        <f>(2*3.14*3.25*4*1.05)*2+0.56</f>
        <v>172.00400000000002</v>
      </c>
      <c r="E110" s="101">
        <v>0</v>
      </c>
      <c r="G110" s="69">
        <f>C110*E110</f>
        <v>0</v>
      </c>
    </row>
    <row r="111" spans="1:7">
      <c r="E111" s="104"/>
    </row>
    <row r="112" spans="1:7" ht="30">
      <c r="A112" s="3" t="s">
        <v>46</v>
      </c>
      <c r="B112" s="2" t="s">
        <v>49</v>
      </c>
      <c r="E112" s="104"/>
    </row>
    <row r="113" spans="1:7">
      <c r="E113" s="104"/>
    </row>
    <row r="114" spans="1:7">
      <c r="B114" s="2" t="s">
        <v>36</v>
      </c>
      <c r="C114" s="1">
        <f>3-1</f>
        <v>2</v>
      </c>
      <c r="E114" s="101">
        <v>0</v>
      </c>
      <c r="G114" s="69">
        <f t="shared" ref="G114:G174" si="0">C114*E114</f>
        <v>0</v>
      </c>
    </row>
    <row r="115" spans="1:7">
      <c r="E115" s="104"/>
    </row>
    <row r="116" spans="1:7" ht="30">
      <c r="A116" s="3" t="s">
        <v>50</v>
      </c>
      <c r="B116" s="2" t="s">
        <v>51</v>
      </c>
      <c r="E116" s="104"/>
    </row>
    <row r="117" spans="1:7">
      <c r="E117" s="104"/>
    </row>
    <row r="118" spans="1:7">
      <c r="B118" s="2" t="s">
        <v>36</v>
      </c>
      <c r="C118" s="1">
        <f>3-1</f>
        <v>2</v>
      </c>
      <c r="E118" s="101">
        <v>0</v>
      </c>
      <c r="G118" s="69">
        <f t="shared" si="0"/>
        <v>0</v>
      </c>
    </row>
    <row r="119" spans="1:7">
      <c r="E119" s="104"/>
    </row>
    <row r="120" spans="1:7" ht="30">
      <c r="A120" s="3" t="s">
        <v>52</v>
      </c>
      <c r="B120" s="2" t="s">
        <v>53</v>
      </c>
      <c r="E120" s="104"/>
    </row>
    <row r="121" spans="1:7">
      <c r="E121" s="104"/>
    </row>
    <row r="122" spans="1:7">
      <c r="B122" s="2" t="s">
        <v>36</v>
      </c>
      <c r="C122" s="1">
        <v>7</v>
      </c>
      <c r="E122" s="101">
        <v>0</v>
      </c>
      <c r="G122" s="69">
        <f t="shared" si="0"/>
        <v>0</v>
      </c>
    </row>
    <row r="123" spans="1:7">
      <c r="E123" s="104"/>
    </row>
    <row r="124" spans="1:7" ht="30">
      <c r="A124" s="3" t="s">
        <v>54</v>
      </c>
      <c r="B124" s="2" t="s">
        <v>55</v>
      </c>
      <c r="E124" s="104"/>
    </row>
    <row r="125" spans="1:7">
      <c r="E125" s="104"/>
    </row>
    <row r="126" spans="1:7">
      <c r="B126" s="2" t="s">
        <v>56</v>
      </c>
      <c r="C126" s="1">
        <f>(2*7.5+32.8+2*1)*1.05+0.76-0.05</f>
        <v>53</v>
      </c>
      <c r="E126" s="101">
        <v>0</v>
      </c>
      <c r="G126" s="69">
        <f t="shared" si="0"/>
        <v>0</v>
      </c>
    </row>
    <row r="127" spans="1:7">
      <c r="E127" s="104"/>
    </row>
    <row r="128" spans="1:7" ht="60">
      <c r="A128" s="3" t="s">
        <v>57</v>
      </c>
      <c r="B128" s="10" t="s">
        <v>44</v>
      </c>
      <c r="E128" s="104"/>
    </row>
    <row r="129" spans="1:7">
      <c r="E129" s="104"/>
    </row>
    <row r="130" spans="1:7">
      <c r="B130" s="2" t="s">
        <v>45</v>
      </c>
      <c r="C130" s="1">
        <f>2*8*0.6*1.7+2*4*4*1*2.6+32*1.7*1.7+2.5*2*14</f>
        <v>262</v>
      </c>
      <c r="E130" s="101">
        <v>0</v>
      </c>
      <c r="G130" s="69">
        <f t="shared" si="0"/>
        <v>0</v>
      </c>
    </row>
    <row r="131" spans="1:7">
      <c r="E131" s="104"/>
    </row>
    <row r="132" spans="1:7" ht="45">
      <c r="A132" s="3" t="s">
        <v>58</v>
      </c>
      <c r="B132" s="2" t="s">
        <v>60</v>
      </c>
      <c r="E132" s="104"/>
    </row>
    <row r="133" spans="1:7">
      <c r="E133" s="104"/>
    </row>
    <row r="134" spans="1:7">
      <c r="B134" s="2" t="s">
        <v>59</v>
      </c>
      <c r="C134" s="1">
        <v>3</v>
      </c>
      <c r="E134" s="101">
        <v>0</v>
      </c>
      <c r="G134" s="69">
        <f t="shared" si="0"/>
        <v>0</v>
      </c>
    </row>
    <row r="135" spans="1:7">
      <c r="E135" s="104"/>
    </row>
    <row r="136" spans="1:7" ht="30">
      <c r="A136" s="3" t="s">
        <v>61</v>
      </c>
      <c r="B136" s="2" t="s">
        <v>62</v>
      </c>
      <c r="E136" s="104"/>
    </row>
    <row r="137" spans="1:7">
      <c r="E137" s="104"/>
    </row>
    <row r="138" spans="1:7">
      <c r="B138" s="2" t="s">
        <v>63</v>
      </c>
      <c r="C138" s="1">
        <v>1</v>
      </c>
      <c r="E138" s="101">
        <v>0</v>
      </c>
      <c r="G138" s="69">
        <f t="shared" si="0"/>
        <v>0</v>
      </c>
    </row>
    <row r="139" spans="1:7">
      <c r="E139" s="104"/>
    </row>
    <row r="140" spans="1:7" ht="90" customHeight="1">
      <c r="A140" s="3" t="s">
        <v>64</v>
      </c>
      <c r="B140" s="17" t="s">
        <v>65</v>
      </c>
      <c r="E140" s="104"/>
    </row>
    <row r="141" spans="1:7">
      <c r="E141" s="104"/>
    </row>
    <row r="142" spans="1:7">
      <c r="B142" s="2" t="s">
        <v>56</v>
      </c>
      <c r="C142" s="1">
        <f>C126</f>
        <v>53</v>
      </c>
      <c r="E142" s="101">
        <v>0</v>
      </c>
      <c r="G142" s="69">
        <f t="shared" si="0"/>
        <v>0</v>
      </c>
    </row>
    <row r="143" spans="1:7">
      <c r="E143" s="104"/>
    </row>
    <row r="144" spans="1:7" ht="75">
      <c r="A144" s="3" t="s">
        <v>66</v>
      </c>
      <c r="B144" s="2" t="s">
        <v>67</v>
      </c>
      <c r="E144" s="104"/>
    </row>
    <row r="145" spans="1:7">
      <c r="E145" s="104"/>
    </row>
    <row r="146" spans="1:7">
      <c r="B146" s="2" t="s">
        <v>59</v>
      </c>
      <c r="C146" s="1">
        <f>(41.8*4/0.8)+1</f>
        <v>209.99999999999997</v>
      </c>
      <c r="E146" s="101">
        <v>0</v>
      </c>
      <c r="G146" s="69">
        <f t="shared" si="0"/>
        <v>0</v>
      </c>
    </row>
    <row r="147" spans="1:7">
      <c r="E147" s="104"/>
    </row>
    <row r="148" spans="1:7" ht="30" customHeight="1">
      <c r="A148" s="3" t="s">
        <v>68</v>
      </c>
      <c r="B148" s="2" t="s">
        <v>47</v>
      </c>
      <c r="E148" s="104"/>
    </row>
    <row r="149" spans="1:7">
      <c r="E149" s="104"/>
    </row>
    <row r="150" spans="1:7">
      <c r="B150" s="2" t="s">
        <v>45</v>
      </c>
      <c r="C150" s="1">
        <f>(2*7.5+32.8+2*1)*1.05*17.3+2*3.14*3.25*4*2+14.7*5.3*0.5+0.15</f>
        <v>1107.0020000000002</v>
      </c>
      <c r="E150" s="101">
        <v>0</v>
      </c>
      <c r="G150" s="69">
        <f t="shared" si="0"/>
        <v>0</v>
      </c>
    </row>
    <row r="151" spans="1:7">
      <c r="E151" s="104"/>
    </row>
    <row r="152" spans="1:7" ht="105">
      <c r="A152" s="3" t="s">
        <v>69</v>
      </c>
      <c r="B152" s="2" t="s">
        <v>72</v>
      </c>
      <c r="E152" s="104"/>
    </row>
    <row r="153" spans="1:7">
      <c r="E153" s="104"/>
    </row>
    <row r="154" spans="1:7">
      <c r="B154" s="2" t="s">
        <v>45</v>
      </c>
      <c r="C154" s="1">
        <f>C150*0.6+0.4</f>
        <v>664.60120000000006</v>
      </c>
      <c r="E154" s="101">
        <v>0</v>
      </c>
      <c r="G154" s="69">
        <f t="shared" si="0"/>
        <v>0</v>
      </c>
    </row>
    <row r="155" spans="1:7">
      <c r="E155" s="104"/>
    </row>
    <row r="156" spans="1:7" ht="105" customHeight="1">
      <c r="A156" s="3" t="s">
        <v>70</v>
      </c>
      <c r="B156" s="2" t="s">
        <v>71</v>
      </c>
      <c r="E156" s="104"/>
    </row>
    <row r="157" spans="1:7">
      <c r="E157" s="104"/>
    </row>
    <row r="158" spans="1:7">
      <c r="B158" s="2" t="s">
        <v>45</v>
      </c>
      <c r="C158" s="1">
        <f>C150</f>
        <v>1107.0020000000002</v>
      </c>
      <c r="E158" s="104">
        <v>0</v>
      </c>
      <c r="G158" s="69">
        <f t="shared" si="0"/>
        <v>0</v>
      </c>
    </row>
    <row r="159" spans="1:7">
      <c r="E159" s="104"/>
    </row>
    <row r="160" spans="1:7" ht="75">
      <c r="A160" s="3" t="s">
        <v>73</v>
      </c>
      <c r="B160" s="2" t="s">
        <v>75</v>
      </c>
      <c r="E160" s="104"/>
    </row>
    <row r="161" spans="1:7">
      <c r="E161" s="104"/>
    </row>
    <row r="162" spans="1:7">
      <c r="B162" s="2" t="s">
        <v>45</v>
      </c>
      <c r="C162" s="1">
        <f>C154</f>
        <v>664.60120000000006</v>
      </c>
      <c r="E162" s="101">
        <v>0</v>
      </c>
      <c r="G162" s="69">
        <f t="shared" si="0"/>
        <v>0</v>
      </c>
    </row>
    <row r="163" spans="1:7">
      <c r="E163" s="104"/>
    </row>
    <row r="164" spans="1:7" ht="60">
      <c r="A164" s="3" t="s">
        <v>76</v>
      </c>
      <c r="B164" s="2" t="s">
        <v>83</v>
      </c>
      <c r="E164" s="104"/>
    </row>
    <row r="165" spans="1:7">
      <c r="E165" s="104"/>
    </row>
    <row r="166" spans="1:7">
      <c r="B166" s="2" t="s">
        <v>45</v>
      </c>
      <c r="C166" s="1">
        <f>C158</f>
        <v>1107.0020000000002</v>
      </c>
      <c r="E166" s="101">
        <v>0</v>
      </c>
      <c r="G166" s="69">
        <f t="shared" si="0"/>
        <v>0</v>
      </c>
    </row>
    <row r="167" spans="1:7">
      <c r="E167" s="104"/>
    </row>
    <row r="168" spans="1:7" ht="45">
      <c r="A168" s="3" t="s">
        <v>77</v>
      </c>
      <c r="B168" s="2" t="s">
        <v>90</v>
      </c>
      <c r="E168" s="104"/>
    </row>
    <row r="169" spans="1:7">
      <c r="E169" s="104"/>
    </row>
    <row r="170" spans="1:7">
      <c r="B170" s="2" t="s">
        <v>45</v>
      </c>
      <c r="C170" s="1">
        <f>C158</f>
        <v>1107.0020000000002</v>
      </c>
      <c r="E170" s="101">
        <v>0</v>
      </c>
      <c r="G170" s="69">
        <f t="shared" si="0"/>
        <v>0</v>
      </c>
    </row>
    <row r="171" spans="1:7">
      <c r="E171" s="104"/>
    </row>
    <row r="172" spans="1:7" ht="45">
      <c r="A172" s="3" t="s">
        <v>78</v>
      </c>
      <c r="B172" s="2" t="s">
        <v>89</v>
      </c>
      <c r="E172" s="104"/>
    </row>
    <row r="173" spans="1:7">
      <c r="E173" s="104"/>
    </row>
    <row r="174" spans="1:7">
      <c r="B174" s="2" t="s">
        <v>45</v>
      </c>
      <c r="C174" s="1">
        <f>C142</f>
        <v>53</v>
      </c>
      <c r="E174" s="101">
        <v>0</v>
      </c>
      <c r="G174" s="69">
        <f t="shared" si="0"/>
        <v>0</v>
      </c>
    </row>
    <row r="175" spans="1:7">
      <c r="E175" s="104"/>
    </row>
    <row r="176" spans="1:7" ht="60">
      <c r="A176" s="3" t="s">
        <v>80</v>
      </c>
      <c r="B176" s="2" t="s">
        <v>197</v>
      </c>
      <c r="E176" s="104"/>
    </row>
    <row r="177" spans="1:7">
      <c r="E177" s="104"/>
    </row>
    <row r="178" spans="1:7">
      <c r="B178" s="2" t="s">
        <v>56</v>
      </c>
      <c r="C178" s="1">
        <f>5*(2*7.5+2*1+32.8)*1.05+2*4+2*3-0.45</f>
        <v>275</v>
      </c>
      <c r="E178" s="101">
        <v>0</v>
      </c>
      <c r="G178" s="69">
        <f t="shared" ref="G178:G218" si="1">C178*E178</f>
        <v>0</v>
      </c>
    </row>
    <row r="179" spans="1:7">
      <c r="E179" s="104"/>
    </row>
    <row r="180" spans="1:7" ht="45" customHeight="1">
      <c r="A180" s="3" t="s">
        <v>82</v>
      </c>
      <c r="B180" s="2" t="s">
        <v>198</v>
      </c>
      <c r="E180" s="104"/>
    </row>
    <row r="181" spans="1:7">
      <c r="E181" s="104"/>
    </row>
    <row r="182" spans="1:7">
      <c r="B182" s="2" t="s">
        <v>56</v>
      </c>
      <c r="C182" s="1">
        <f>(4.5+3+32.8+3+4.5+2*1)*1.05-0.29</f>
        <v>52</v>
      </c>
      <c r="E182" s="101">
        <v>0</v>
      </c>
      <c r="G182" s="69">
        <f t="shared" si="1"/>
        <v>0</v>
      </c>
    </row>
    <row r="183" spans="1:7">
      <c r="E183" s="104"/>
    </row>
    <row r="184" spans="1:7" ht="45">
      <c r="A184" s="3" t="s">
        <v>84</v>
      </c>
      <c r="B184" s="2" t="s">
        <v>207</v>
      </c>
      <c r="E184" s="104"/>
    </row>
    <row r="185" spans="1:7">
      <c r="E185" s="104"/>
    </row>
    <row r="186" spans="1:7">
      <c r="B186" s="2" t="s">
        <v>56</v>
      </c>
      <c r="C186" s="1">
        <f>C182+2*10</f>
        <v>72</v>
      </c>
      <c r="E186" s="101">
        <v>0</v>
      </c>
      <c r="G186" s="69">
        <f t="shared" si="1"/>
        <v>0</v>
      </c>
    </row>
    <row r="187" spans="1:7">
      <c r="E187" s="104"/>
    </row>
    <row r="188" spans="1:7" ht="60" customHeight="1">
      <c r="A188" s="3" t="s">
        <v>85</v>
      </c>
      <c r="B188" s="2" t="s">
        <v>208</v>
      </c>
      <c r="E188" s="104"/>
    </row>
    <row r="189" spans="1:7">
      <c r="E189" s="104"/>
    </row>
    <row r="190" spans="1:7">
      <c r="B190" s="2" t="s">
        <v>56</v>
      </c>
      <c r="C190" s="1">
        <f>(24*1.9+16*0.7+6*3.14*0.7)*1.05+0.51</f>
        <v>73.997400000000013</v>
      </c>
      <c r="E190" s="101">
        <v>0</v>
      </c>
      <c r="G190" s="69">
        <f>C190*E190</f>
        <v>0</v>
      </c>
    </row>
    <row r="191" spans="1:7">
      <c r="E191" s="104"/>
    </row>
    <row r="192" spans="1:7" ht="45">
      <c r="A192" s="2" t="s">
        <v>86</v>
      </c>
      <c r="B192" s="2" t="s">
        <v>189</v>
      </c>
      <c r="E192" s="104"/>
    </row>
    <row r="193" spans="1:7">
      <c r="E193" s="104"/>
    </row>
    <row r="194" spans="1:7">
      <c r="B194" s="2" t="s">
        <v>45</v>
      </c>
      <c r="C194" s="1">
        <v>3.2</v>
      </c>
      <c r="E194" s="101">
        <v>0</v>
      </c>
      <c r="G194" s="69">
        <f>C194*E194</f>
        <v>0</v>
      </c>
    </row>
    <row r="195" spans="1:7">
      <c r="E195" s="104"/>
    </row>
    <row r="196" spans="1:7" ht="45">
      <c r="A196" s="3" t="s">
        <v>91</v>
      </c>
      <c r="B196" s="2" t="s">
        <v>88</v>
      </c>
      <c r="E196" s="104"/>
    </row>
    <row r="197" spans="1:7">
      <c r="E197" s="104"/>
    </row>
    <row r="198" spans="1:7">
      <c r="B198" s="2" t="s">
        <v>56</v>
      </c>
      <c r="C198" s="1">
        <f>C178+C182</f>
        <v>327</v>
      </c>
      <c r="E198" s="101">
        <v>0</v>
      </c>
      <c r="G198" s="69">
        <f t="shared" si="1"/>
        <v>0</v>
      </c>
    </row>
    <row r="199" spans="1:7">
      <c r="E199" s="104"/>
    </row>
    <row r="200" spans="1:7" ht="30">
      <c r="A200" s="3" t="s">
        <v>92</v>
      </c>
      <c r="B200" s="2" t="s">
        <v>209</v>
      </c>
      <c r="E200" s="104"/>
    </row>
    <row r="201" spans="1:7">
      <c r="E201" s="104"/>
    </row>
    <row r="202" spans="1:7">
      <c r="B202" s="2" t="s">
        <v>56</v>
      </c>
      <c r="C202" s="1">
        <v>15</v>
      </c>
      <c r="E202" s="101">
        <v>0</v>
      </c>
      <c r="G202" s="69">
        <f t="shared" si="1"/>
        <v>0</v>
      </c>
    </row>
    <row r="203" spans="1:7">
      <c r="E203" s="104"/>
    </row>
    <row r="204" spans="1:7">
      <c r="A204" s="3" t="s">
        <v>93</v>
      </c>
      <c r="B204" s="2" t="s">
        <v>210</v>
      </c>
      <c r="E204" s="104"/>
    </row>
    <row r="205" spans="1:7">
      <c r="E205" s="104"/>
    </row>
    <row r="206" spans="1:7">
      <c r="B206" s="2" t="s">
        <v>56</v>
      </c>
      <c r="C206" s="1">
        <f>C190+4*2.5*2</f>
        <v>93.997400000000013</v>
      </c>
      <c r="E206" s="101">
        <v>0</v>
      </c>
      <c r="G206" s="69">
        <f t="shared" si="1"/>
        <v>0</v>
      </c>
    </row>
    <row r="207" spans="1:7">
      <c r="E207" s="104"/>
    </row>
    <row r="208" spans="1:7" ht="60" customHeight="1">
      <c r="A208" s="3" t="s">
        <v>95</v>
      </c>
      <c r="B208" s="2" t="s">
        <v>94</v>
      </c>
      <c r="E208" s="104"/>
    </row>
    <row r="209" spans="1:7">
      <c r="E209" s="104"/>
    </row>
    <row r="210" spans="1:7">
      <c r="B210" s="2" t="s">
        <v>63</v>
      </c>
      <c r="C210" s="1">
        <v>1</v>
      </c>
      <c r="E210" s="101">
        <v>0</v>
      </c>
      <c r="G210" s="69">
        <f t="shared" si="1"/>
        <v>0</v>
      </c>
    </row>
    <row r="211" spans="1:7">
      <c r="E211" s="104"/>
    </row>
    <row r="212" spans="1:7" ht="45">
      <c r="A212" s="3" t="s">
        <v>98</v>
      </c>
      <c r="B212" s="2" t="s">
        <v>96</v>
      </c>
      <c r="E212" s="104"/>
    </row>
    <row r="213" spans="1:7">
      <c r="E213" s="104"/>
    </row>
    <row r="214" spans="1:7">
      <c r="B214" s="2" t="s">
        <v>97</v>
      </c>
      <c r="C214" s="1">
        <f>C150*0.01*1.25+C162*0.03*1.25</f>
        <v>38.760069999999999</v>
      </c>
      <c r="E214" s="101">
        <v>0</v>
      </c>
      <c r="G214" s="69">
        <f t="shared" si="1"/>
        <v>0</v>
      </c>
    </row>
    <row r="215" spans="1:7">
      <c r="E215" s="104"/>
    </row>
    <row r="216" spans="1:7" ht="45">
      <c r="A216" s="3" t="s">
        <v>104</v>
      </c>
      <c r="B216" s="2" t="s">
        <v>99</v>
      </c>
      <c r="E216" s="104"/>
    </row>
    <row r="217" spans="1:7">
      <c r="E217" s="104"/>
    </row>
    <row r="218" spans="1:7">
      <c r="B218" s="2" t="s">
        <v>63</v>
      </c>
      <c r="C218" s="1">
        <v>1</v>
      </c>
      <c r="E218" s="101">
        <v>0</v>
      </c>
      <c r="G218" s="69">
        <f t="shared" si="1"/>
        <v>0</v>
      </c>
    </row>
    <row r="219" spans="1:7">
      <c r="E219" s="104"/>
    </row>
    <row r="220" spans="1:7" ht="15.75" thickBot="1">
      <c r="A220" s="79"/>
      <c r="B220" s="74" t="s">
        <v>100</v>
      </c>
      <c r="C220" s="75"/>
      <c r="D220" s="76"/>
      <c r="E220" s="103"/>
      <c r="F220" s="75" t="s">
        <v>41</v>
      </c>
      <c r="G220" s="75">
        <f>SUM(G102:G219)</f>
        <v>0</v>
      </c>
    </row>
    <row r="221" spans="1:7" ht="15.75" thickTop="1">
      <c r="E221" s="104"/>
    </row>
    <row r="222" spans="1:7">
      <c r="A222" s="5" t="s">
        <v>105</v>
      </c>
      <c r="B222" s="6" t="s">
        <v>106</v>
      </c>
      <c r="E222" s="104"/>
    </row>
    <row r="223" spans="1:7">
      <c r="E223" s="104"/>
    </row>
    <row r="224" spans="1:7" ht="105">
      <c r="A224" s="3" t="s">
        <v>19</v>
      </c>
      <c r="B224" s="22" t="s">
        <v>107</v>
      </c>
      <c r="E224" s="104"/>
    </row>
    <row r="225" spans="1:7">
      <c r="E225" s="104"/>
    </row>
    <row r="226" spans="1:7">
      <c r="B226" s="2" t="s">
        <v>63</v>
      </c>
      <c r="C226" s="1">
        <v>1</v>
      </c>
      <c r="E226" s="101">
        <v>0</v>
      </c>
      <c r="G226" s="69">
        <f>C226*E226</f>
        <v>0</v>
      </c>
    </row>
    <row r="227" spans="1:7">
      <c r="E227" s="104"/>
    </row>
    <row r="228" spans="1:7" ht="15.75" thickBot="1">
      <c r="A228" s="79"/>
      <c r="B228" s="74" t="s">
        <v>108</v>
      </c>
      <c r="C228" s="75"/>
      <c r="D228" s="76"/>
      <c r="E228" s="103"/>
      <c r="F228" s="75" t="s">
        <v>41</v>
      </c>
      <c r="G228" s="75">
        <f>SUM(G222:G227)</f>
        <v>0</v>
      </c>
    </row>
    <row r="229" spans="1:7" ht="15.75" thickTop="1">
      <c r="E229" s="104"/>
    </row>
    <row r="230" spans="1:7">
      <c r="A230" s="5" t="s">
        <v>109</v>
      </c>
      <c r="B230" s="6" t="s">
        <v>110</v>
      </c>
      <c r="E230" s="104"/>
    </row>
    <row r="231" spans="1:7">
      <c r="A231" s="5"/>
      <c r="B231" s="6"/>
      <c r="E231" s="104"/>
    </row>
    <row r="232" spans="1:7" ht="105">
      <c r="A232" s="23" t="s">
        <v>111</v>
      </c>
      <c r="B232" s="24" t="s">
        <v>112</v>
      </c>
      <c r="E232" s="104"/>
    </row>
    <row r="233" spans="1:7">
      <c r="A233" s="5"/>
      <c r="B233" s="6"/>
      <c r="E233" s="104"/>
    </row>
    <row r="234" spans="1:7" ht="60">
      <c r="A234" s="3" t="s">
        <v>19</v>
      </c>
      <c r="B234" s="2" t="s">
        <v>113</v>
      </c>
      <c r="E234" s="104"/>
    </row>
    <row r="235" spans="1:7">
      <c r="E235" s="104"/>
    </row>
    <row r="236" spans="1:7">
      <c r="A236" s="3" t="s">
        <v>114</v>
      </c>
      <c r="B236" s="2" t="s">
        <v>118</v>
      </c>
      <c r="C236" s="1">
        <f>C198+C206</f>
        <v>420.99740000000003</v>
      </c>
      <c r="E236" s="101">
        <v>0</v>
      </c>
      <c r="G236" s="69">
        <f>C236*E236</f>
        <v>0</v>
      </c>
    </row>
    <row r="237" spans="1:7">
      <c r="E237" s="104"/>
    </row>
    <row r="238" spans="1:7">
      <c r="A238" s="3" t="s">
        <v>115</v>
      </c>
      <c r="B238" s="2" t="s">
        <v>119</v>
      </c>
      <c r="C238" s="1">
        <f>C248</f>
        <v>15</v>
      </c>
      <c r="E238" s="101">
        <v>0</v>
      </c>
      <c r="G238" s="69">
        <f t="shared" ref="G238:G260" si="2">C238*E238</f>
        <v>0</v>
      </c>
    </row>
    <row r="239" spans="1:7">
      <c r="E239" s="104"/>
    </row>
    <row r="240" spans="1:7" ht="60">
      <c r="A240" s="3" t="s">
        <v>46</v>
      </c>
      <c r="B240" s="2" t="s">
        <v>132</v>
      </c>
      <c r="E240" s="104"/>
    </row>
    <row r="241" spans="1:7">
      <c r="E241" s="104"/>
    </row>
    <row r="242" spans="1:7">
      <c r="B242" s="2" t="s">
        <v>56</v>
      </c>
      <c r="C242" s="1">
        <f>2*19</f>
        <v>38</v>
      </c>
      <c r="E242" s="101">
        <v>0</v>
      </c>
      <c r="G242" s="69">
        <f t="shared" si="2"/>
        <v>0</v>
      </c>
    </row>
    <row r="243" spans="1:7">
      <c r="E243" s="104"/>
    </row>
    <row r="244" spans="1:7">
      <c r="A244" s="3" t="s">
        <v>50</v>
      </c>
      <c r="B244" s="2" t="s">
        <v>117</v>
      </c>
      <c r="E244" s="104"/>
    </row>
    <row r="245" spans="1:7">
      <c r="E245" s="104"/>
    </row>
    <row r="246" spans="1:7">
      <c r="A246" s="3" t="s">
        <v>114</v>
      </c>
      <c r="B246" s="2" t="s">
        <v>118</v>
      </c>
      <c r="C246" s="1">
        <f>C236</f>
        <v>420.99740000000003</v>
      </c>
      <c r="E246" s="101">
        <v>0</v>
      </c>
      <c r="G246" s="69">
        <f t="shared" si="2"/>
        <v>0</v>
      </c>
    </row>
    <row r="247" spans="1:7">
      <c r="E247" s="104"/>
    </row>
    <row r="248" spans="1:7">
      <c r="A248" s="3" t="s">
        <v>115</v>
      </c>
      <c r="B248" s="2" t="s">
        <v>119</v>
      </c>
      <c r="C248" s="1">
        <f>C202</f>
        <v>15</v>
      </c>
      <c r="E248" s="101">
        <v>0</v>
      </c>
      <c r="G248" s="69">
        <f t="shared" si="2"/>
        <v>0</v>
      </c>
    </row>
    <row r="249" spans="1:7">
      <c r="E249" s="104"/>
    </row>
    <row r="250" spans="1:7" ht="45">
      <c r="A250" s="3" t="s">
        <v>54</v>
      </c>
      <c r="B250" s="2" t="s">
        <v>200</v>
      </c>
      <c r="E250" s="104"/>
    </row>
    <row r="251" spans="1:7">
      <c r="E251" s="104"/>
    </row>
    <row r="252" spans="1:7">
      <c r="B252" s="2" t="s">
        <v>56</v>
      </c>
      <c r="C252" s="1">
        <f>(2*4.5+2*3+32.8+2*1)*1.05-0.29</f>
        <v>52</v>
      </c>
      <c r="E252" s="101">
        <v>0</v>
      </c>
      <c r="G252" s="69">
        <f>C252*E252</f>
        <v>0</v>
      </c>
    </row>
    <row r="253" spans="1:7">
      <c r="E253" s="104"/>
    </row>
    <row r="254" spans="1:7">
      <c r="A254" s="3" t="s">
        <v>57</v>
      </c>
      <c r="B254" s="2" t="s">
        <v>183</v>
      </c>
      <c r="E254" s="104"/>
    </row>
    <row r="255" spans="1:7">
      <c r="E255" s="104"/>
    </row>
    <row r="256" spans="1:7">
      <c r="B256" s="2" t="s">
        <v>59</v>
      </c>
      <c r="C256" s="1">
        <v>2</v>
      </c>
      <c r="E256" s="101">
        <v>0</v>
      </c>
      <c r="G256" s="69">
        <f t="shared" si="2"/>
        <v>0</v>
      </c>
    </row>
    <row r="257" spans="1:7">
      <c r="E257" s="104"/>
    </row>
    <row r="258" spans="1:7" ht="60">
      <c r="A258" s="3" t="s">
        <v>58</v>
      </c>
      <c r="B258" s="2" t="s">
        <v>123</v>
      </c>
      <c r="E258" s="104"/>
    </row>
    <row r="259" spans="1:7">
      <c r="E259" s="104"/>
    </row>
    <row r="260" spans="1:7">
      <c r="B260" s="2" t="s">
        <v>56</v>
      </c>
      <c r="C260" s="1">
        <f>C198+C202</f>
        <v>342</v>
      </c>
      <c r="E260" s="101">
        <v>0</v>
      </c>
      <c r="G260" s="69">
        <f t="shared" si="2"/>
        <v>0</v>
      </c>
    </row>
    <row r="261" spans="1:7">
      <c r="E261" s="104"/>
    </row>
    <row r="262" spans="1:7" ht="15.75" thickBot="1">
      <c r="A262" s="79"/>
      <c r="B262" s="74" t="s">
        <v>124</v>
      </c>
      <c r="C262" s="75"/>
      <c r="D262" s="76"/>
      <c r="E262" s="103"/>
      <c r="F262" s="75" t="s">
        <v>41</v>
      </c>
      <c r="G262" s="75">
        <f>SUM(G230:G261)</f>
        <v>0</v>
      </c>
    </row>
    <row r="263" spans="1:7" ht="15.75" thickTop="1">
      <c r="E263" s="104"/>
    </row>
    <row r="264" spans="1:7">
      <c r="A264" s="5" t="s">
        <v>125</v>
      </c>
      <c r="B264" s="6" t="s">
        <v>126</v>
      </c>
      <c r="C264" s="25"/>
      <c r="D264" s="30"/>
      <c r="E264" s="105"/>
      <c r="F264" s="25"/>
      <c r="G264" s="25"/>
    </row>
    <row r="265" spans="1:7">
      <c r="E265" s="104"/>
    </row>
    <row r="266" spans="1:7" ht="45">
      <c r="A266" s="3" t="s">
        <v>19</v>
      </c>
      <c r="B266" s="2" t="s">
        <v>127</v>
      </c>
      <c r="E266" s="104"/>
    </row>
    <row r="267" spans="1:7">
      <c r="E267" s="104"/>
    </row>
    <row r="268" spans="1:7">
      <c r="B268" s="2" t="s">
        <v>59</v>
      </c>
      <c r="C268" s="1">
        <v>1</v>
      </c>
      <c r="E268" s="101">
        <v>0</v>
      </c>
      <c r="G268" s="69">
        <f>C268*E268</f>
        <v>0</v>
      </c>
    </row>
    <row r="269" spans="1:7">
      <c r="E269" s="104"/>
    </row>
    <row r="270" spans="1:7" ht="60">
      <c r="A270" s="3" t="s">
        <v>46</v>
      </c>
      <c r="B270" s="2" t="s">
        <v>128</v>
      </c>
      <c r="E270" s="104"/>
    </row>
    <row r="271" spans="1:7">
      <c r="E271" s="104"/>
    </row>
    <row r="272" spans="1:7">
      <c r="B272" s="2" t="s">
        <v>59</v>
      </c>
      <c r="C272" s="1">
        <v>6</v>
      </c>
      <c r="E272" s="101">
        <v>0</v>
      </c>
      <c r="G272" s="69">
        <f>C272*E272</f>
        <v>0</v>
      </c>
    </row>
    <row r="273" spans="1:7">
      <c r="E273" s="104"/>
    </row>
    <row r="274" spans="1:7" ht="15.75" thickBot="1">
      <c r="A274" s="79"/>
      <c r="B274" s="74" t="s">
        <v>129</v>
      </c>
      <c r="C274" s="75"/>
      <c r="D274" s="76"/>
      <c r="E274" s="103"/>
      <c r="F274" s="75" t="s">
        <v>41</v>
      </c>
      <c r="G274" s="75">
        <f>SUM(G264:G273)</f>
        <v>0</v>
      </c>
    </row>
    <row r="275" spans="1:7" ht="15.75" thickTop="1">
      <c r="E275" s="104"/>
    </row>
    <row r="276" spans="1:7">
      <c r="A276" s="5" t="s">
        <v>134</v>
      </c>
      <c r="B276" s="6" t="s">
        <v>135</v>
      </c>
      <c r="E276" s="104"/>
    </row>
    <row r="277" spans="1:7">
      <c r="E277" s="104"/>
    </row>
    <row r="278" spans="1:7" ht="60">
      <c r="A278" s="3" t="s">
        <v>111</v>
      </c>
      <c r="B278" s="2" t="s">
        <v>139</v>
      </c>
      <c r="E278" s="104"/>
    </row>
    <row r="279" spans="1:7">
      <c r="E279" s="104"/>
    </row>
    <row r="280" spans="1:7" ht="105">
      <c r="B280" s="2" t="s">
        <v>141</v>
      </c>
      <c r="E280" s="104"/>
    </row>
    <row r="281" spans="1:7">
      <c r="E281" s="104"/>
    </row>
    <row r="282" spans="1:7" ht="180">
      <c r="A282" s="3" t="s">
        <v>19</v>
      </c>
      <c r="B282" s="2" t="s">
        <v>138</v>
      </c>
      <c r="E282" s="104"/>
    </row>
    <row r="283" spans="1:7">
      <c r="E283" s="104"/>
    </row>
    <row r="284" spans="1:7">
      <c r="B284" s="2" t="s">
        <v>59</v>
      </c>
      <c r="C284" s="1">
        <v>1</v>
      </c>
      <c r="E284" s="101">
        <v>0</v>
      </c>
      <c r="G284" s="69">
        <f>C284*E284</f>
        <v>0</v>
      </c>
    </row>
    <row r="285" spans="1:7">
      <c r="E285" s="104"/>
    </row>
    <row r="286" spans="1:7" ht="45">
      <c r="A286" s="3" t="s">
        <v>46</v>
      </c>
      <c r="B286" s="2" t="s">
        <v>142</v>
      </c>
      <c r="E286" s="104"/>
    </row>
    <row r="287" spans="1:7">
      <c r="E287" s="104"/>
    </row>
    <row r="288" spans="1:7">
      <c r="A288" s="3" t="s">
        <v>114</v>
      </c>
      <c r="B288" s="2" t="s">
        <v>211</v>
      </c>
      <c r="C288" s="1">
        <v>13</v>
      </c>
      <c r="E288" s="104"/>
    </row>
    <row r="289" spans="1:7">
      <c r="E289" s="104"/>
    </row>
    <row r="290" spans="1:7">
      <c r="A290" s="3" t="s">
        <v>115</v>
      </c>
      <c r="B290" s="2" t="s">
        <v>212</v>
      </c>
      <c r="C290" s="1">
        <v>6</v>
      </c>
      <c r="E290" s="101">
        <v>0</v>
      </c>
      <c r="G290" s="69">
        <f t="shared" ref="G290:G305" si="3">C290*E290</f>
        <v>0</v>
      </c>
    </row>
    <row r="291" spans="1:7">
      <c r="E291" s="104"/>
    </row>
    <row r="292" spans="1:7">
      <c r="A292" s="3" t="s">
        <v>116</v>
      </c>
      <c r="B292" s="2" t="s">
        <v>144</v>
      </c>
      <c r="C292" s="1">
        <f>32*0.8+0.4</f>
        <v>26</v>
      </c>
      <c r="E292" s="101">
        <v>0</v>
      </c>
      <c r="G292" s="69">
        <f t="shared" si="3"/>
        <v>0</v>
      </c>
    </row>
    <row r="293" spans="1:7">
      <c r="E293" s="104"/>
    </row>
    <row r="294" spans="1:7">
      <c r="E294" s="104"/>
    </row>
    <row r="295" spans="1:7" ht="45">
      <c r="A295" s="3" t="s">
        <v>50</v>
      </c>
      <c r="B295" s="2" t="s">
        <v>192</v>
      </c>
      <c r="E295" s="104"/>
    </row>
    <row r="296" spans="1:7">
      <c r="E296" s="104"/>
    </row>
    <row r="297" spans="1:7">
      <c r="B297" s="2" t="s">
        <v>59</v>
      </c>
      <c r="C297" s="1">
        <v>20</v>
      </c>
      <c r="E297" s="101">
        <v>0</v>
      </c>
      <c r="G297" s="69">
        <f>C297*E297</f>
        <v>0</v>
      </c>
    </row>
    <row r="298" spans="1:7">
      <c r="E298" s="104"/>
    </row>
    <row r="299" spans="1:7" ht="194.25" customHeight="1">
      <c r="A299" s="3" t="s">
        <v>52</v>
      </c>
      <c r="B299" s="2" t="s">
        <v>184</v>
      </c>
      <c r="E299" s="104"/>
    </row>
    <row r="300" spans="1:7">
      <c r="E300" s="104"/>
    </row>
    <row r="301" spans="1:7">
      <c r="A301" s="3" t="s">
        <v>114</v>
      </c>
      <c r="B301" s="2" t="s">
        <v>213</v>
      </c>
      <c r="C301" s="1">
        <f>C288</f>
        <v>13</v>
      </c>
      <c r="E301" s="101">
        <v>0</v>
      </c>
      <c r="G301" s="69">
        <f t="shared" ref="G301" si="4">C301*E301</f>
        <v>0</v>
      </c>
    </row>
    <row r="302" spans="1:7">
      <c r="E302" s="104"/>
    </row>
    <row r="303" spans="1:7">
      <c r="A303" s="3" t="s">
        <v>115</v>
      </c>
      <c r="B303" s="2" t="s">
        <v>214</v>
      </c>
      <c r="C303" s="1">
        <f>C290</f>
        <v>6</v>
      </c>
      <c r="E303" s="101">
        <v>0</v>
      </c>
      <c r="G303" s="69">
        <f t="shared" si="3"/>
        <v>0</v>
      </c>
    </row>
    <row r="304" spans="1:7">
      <c r="E304" s="104"/>
    </row>
    <row r="305" spans="1:7">
      <c r="A305" s="3" t="s">
        <v>116</v>
      </c>
      <c r="B305" s="2" t="s">
        <v>147</v>
      </c>
      <c r="C305" s="1">
        <f>C292</f>
        <v>26</v>
      </c>
      <c r="E305" s="101">
        <v>0</v>
      </c>
      <c r="G305" s="69">
        <f t="shared" si="3"/>
        <v>0</v>
      </c>
    </row>
    <row r="306" spans="1:7">
      <c r="E306" s="104"/>
    </row>
    <row r="307" spans="1:7" ht="15.75" thickBot="1">
      <c r="A307" s="79"/>
      <c r="B307" s="81" t="s">
        <v>153</v>
      </c>
      <c r="C307" s="82"/>
      <c r="D307" s="83"/>
      <c r="E307" s="109"/>
      <c r="F307" s="84" t="s">
        <v>41</v>
      </c>
      <c r="G307" s="85">
        <f>SUM(G276:G306)</f>
        <v>0</v>
      </c>
    </row>
    <row r="308" spans="1:7" ht="15.75" thickTop="1">
      <c r="B308" s="20"/>
      <c r="C308" s="31"/>
      <c r="D308" s="26"/>
      <c r="E308" s="106"/>
      <c r="F308" s="33"/>
      <c r="G308" s="32"/>
    </row>
    <row r="309" spans="1:7">
      <c r="A309" s="5" t="s">
        <v>136</v>
      </c>
      <c r="B309" s="6" t="s">
        <v>137</v>
      </c>
      <c r="E309" s="104"/>
      <c r="F309" s="34"/>
    </row>
    <row r="310" spans="1:7">
      <c r="E310" s="104"/>
      <c r="F310" s="34"/>
    </row>
    <row r="311" spans="1:7" ht="135">
      <c r="A311" s="3" t="s">
        <v>111</v>
      </c>
      <c r="B311" s="2" t="s">
        <v>140</v>
      </c>
      <c r="E311" s="104"/>
      <c r="F311" s="34"/>
    </row>
    <row r="312" spans="1:7">
      <c r="E312" s="104"/>
      <c r="F312" s="34"/>
    </row>
    <row r="313" spans="1:7" ht="90">
      <c r="A313" s="3" t="s">
        <v>19</v>
      </c>
      <c r="B313" s="17" t="s">
        <v>156</v>
      </c>
      <c r="E313" s="104"/>
      <c r="F313" s="34"/>
    </row>
    <row r="314" spans="1:7">
      <c r="B314" s="21"/>
      <c r="E314" s="104"/>
      <c r="F314" s="34"/>
    </row>
    <row r="315" spans="1:7">
      <c r="B315" s="2" t="s">
        <v>45</v>
      </c>
      <c r="C315" s="1">
        <f>C150</f>
        <v>1107.0020000000002</v>
      </c>
      <c r="E315" s="101">
        <v>0</v>
      </c>
      <c r="F315" s="34"/>
      <c r="G315" s="69">
        <f>C315*E315</f>
        <v>0</v>
      </c>
    </row>
    <row r="316" spans="1:7">
      <c r="E316" s="104"/>
      <c r="F316" s="34"/>
    </row>
    <row r="317" spans="1:7" ht="90" customHeight="1">
      <c r="A317" s="3" t="s">
        <v>154</v>
      </c>
      <c r="B317" s="17" t="s">
        <v>155</v>
      </c>
      <c r="E317" s="104"/>
      <c r="F317" s="34"/>
    </row>
    <row r="318" spans="1:7">
      <c r="E318" s="104"/>
      <c r="F318" s="34"/>
    </row>
    <row r="319" spans="1:7">
      <c r="B319" s="2" t="s">
        <v>45</v>
      </c>
      <c r="C319" s="1">
        <f>C315</f>
        <v>1107.0020000000002</v>
      </c>
      <c r="E319" s="101">
        <v>0</v>
      </c>
      <c r="F319" s="34"/>
      <c r="G319" s="69">
        <f>C319*E319</f>
        <v>0</v>
      </c>
    </row>
    <row r="320" spans="1:7">
      <c r="E320" s="104"/>
      <c r="F320" s="34"/>
    </row>
    <row r="321" spans="1:7" ht="255">
      <c r="A321" s="3" t="s">
        <v>50</v>
      </c>
      <c r="B321" s="17" t="s">
        <v>173</v>
      </c>
      <c r="E321" s="104"/>
      <c r="F321" s="34"/>
    </row>
    <row r="322" spans="1:7">
      <c r="B322" s="17"/>
      <c r="E322" s="104"/>
      <c r="F322" s="34"/>
    </row>
    <row r="323" spans="1:7">
      <c r="A323" s="3" t="s">
        <v>114</v>
      </c>
      <c r="B323" s="17" t="s">
        <v>215</v>
      </c>
      <c r="C323" s="1">
        <v>3</v>
      </c>
      <c r="E323" s="101">
        <v>0</v>
      </c>
      <c r="F323" s="34"/>
      <c r="G323" s="69">
        <f>C323*E323</f>
        <v>0</v>
      </c>
    </row>
    <row r="324" spans="1:7">
      <c r="B324" s="17"/>
      <c r="E324" s="104"/>
      <c r="F324" s="34"/>
    </row>
    <row r="325" spans="1:7">
      <c r="A325" s="3" t="s">
        <v>115</v>
      </c>
      <c r="B325" s="17" t="s">
        <v>216</v>
      </c>
      <c r="C325" s="1">
        <v>2</v>
      </c>
      <c r="E325" s="101">
        <v>0</v>
      </c>
      <c r="F325" s="34"/>
      <c r="G325" s="69">
        <f>C325*E325</f>
        <v>0</v>
      </c>
    </row>
    <row r="326" spans="1:7">
      <c r="B326" s="17"/>
      <c r="E326" s="104"/>
      <c r="F326" s="34"/>
    </row>
    <row r="327" spans="1:7">
      <c r="A327" s="3" t="s">
        <v>116</v>
      </c>
      <c r="B327" s="17" t="s">
        <v>147</v>
      </c>
      <c r="C327" s="1">
        <v>6</v>
      </c>
      <c r="E327" s="101">
        <v>0</v>
      </c>
      <c r="F327" s="34"/>
      <c r="G327" s="69">
        <f>C327*E327</f>
        <v>0</v>
      </c>
    </row>
    <row r="328" spans="1:7">
      <c r="B328" s="17"/>
      <c r="E328" s="104"/>
      <c r="F328" s="34"/>
    </row>
    <row r="329" spans="1:7" ht="15" customHeight="1">
      <c r="A329" s="3" t="s">
        <v>218</v>
      </c>
      <c r="B329" s="17" t="s">
        <v>219</v>
      </c>
      <c r="C329" s="1">
        <v>2</v>
      </c>
      <c r="E329" s="101">
        <v>0</v>
      </c>
      <c r="F329" s="34"/>
      <c r="G329" s="69">
        <f>C329*E329</f>
        <v>0</v>
      </c>
    </row>
    <row r="330" spans="1:7">
      <c r="B330" s="17"/>
      <c r="E330" s="104"/>
      <c r="F330" s="34"/>
    </row>
    <row r="331" spans="1:7" ht="60">
      <c r="A331" s="3" t="s">
        <v>52</v>
      </c>
      <c r="B331" s="17" t="s">
        <v>217</v>
      </c>
      <c r="E331" s="104"/>
      <c r="F331" s="34"/>
    </row>
    <row r="332" spans="1:7">
      <c r="B332" s="17"/>
      <c r="E332" s="104"/>
      <c r="F332" s="34"/>
    </row>
    <row r="333" spans="1:7">
      <c r="B333" s="17" t="s">
        <v>202</v>
      </c>
      <c r="C333" s="1">
        <v>8</v>
      </c>
      <c r="E333" s="101">
        <v>0</v>
      </c>
      <c r="F333" s="34"/>
      <c r="G333" s="69">
        <f>C333*E333</f>
        <v>0</v>
      </c>
    </row>
    <row r="334" spans="1:7">
      <c r="B334" s="17"/>
      <c r="E334" s="104"/>
      <c r="F334" s="34"/>
    </row>
    <row r="335" spans="1:7" ht="45">
      <c r="A335" s="3" t="s">
        <v>54</v>
      </c>
      <c r="B335" s="17" t="s">
        <v>158</v>
      </c>
      <c r="E335" s="104"/>
      <c r="F335" s="34"/>
    </row>
    <row r="336" spans="1:7">
      <c r="B336" s="17"/>
      <c r="E336" s="104"/>
      <c r="F336" s="34"/>
    </row>
    <row r="337" spans="1:7">
      <c r="B337" s="17" t="s">
        <v>45</v>
      </c>
      <c r="C337" s="1">
        <v>1</v>
      </c>
      <c r="E337" s="101">
        <v>0</v>
      </c>
      <c r="F337" s="34"/>
      <c r="G337" s="69">
        <f>C337*E337</f>
        <v>0</v>
      </c>
    </row>
    <row r="338" spans="1:7">
      <c r="B338" s="17"/>
      <c r="E338" s="104"/>
      <c r="F338" s="34"/>
    </row>
    <row r="339" spans="1:7" ht="15.75" thickBot="1">
      <c r="A339" s="79"/>
      <c r="B339" s="74" t="s">
        <v>160</v>
      </c>
      <c r="C339" s="75"/>
      <c r="D339" s="76"/>
      <c r="E339" s="103"/>
      <c r="F339" s="86" t="s">
        <v>41</v>
      </c>
      <c r="G339" s="75">
        <f>SUM(G309:G338)</f>
        <v>0</v>
      </c>
    </row>
    <row r="340" spans="1:7" ht="15.75" thickTop="1">
      <c r="F340" s="34"/>
    </row>
    <row r="341" spans="1:7">
      <c r="A341" s="5" t="s">
        <v>161</v>
      </c>
      <c r="B341" s="6" t="s">
        <v>162</v>
      </c>
    </row>
    <row r="343" spans="1:7" ht="105" customHeight="1">
      <c r="A343" s="3">
        <v>1</v>
      </c>
      <c r="B343" s="2" t="s">
        <v>163</v>
      </c>
      <c r="G343" s="71">
        <f>(G100+G220+G228+G262+G274+G307+G339)*0.1</f>
        <v>0</v>
      </c>
    </row>
    <row r="344" spans="1:7" ht="16.5" customHeight="1">
      <c r="G344" s="41"/>
    </row>
    <row r="345" spans="1:7" ht="15.75" thickBot="1">
      <c r="A345" s="79"/>
      <c r="B345" s="74" t="s">
        <v>164</v>
      </c>
      <c r="C345" s="75"/>
      <c r="D345" s="76"/>
      <c r="E345" s="75"/>
      <c r="F345" s="75" t="s">
        <v>41</v>
      </c>
      <c r="G345" s="75">
        <f>SUM(G341:G344)</f>
        <v>0</v>
      </c>
    </row>
    <row r="346" spans="1:7" ht="15.75" thickTop="1">
      <c r="A346" s="42"/>
      <c r="B346" s="43"/>
      <c r="C346" s="44"/>
      <c r="D346" s="45"/>
      <c r="E346" s="44"/>
      <c r="F346" s="44"/>
      <c r="G346" s="44"/>
    </row>
    <row r="348" spans="1:7">
      <c r="B348" s="6" t="s">
        <v>165</v>
      </c>
    </row>
    <row r="350" spans="1:7">
      <c r="A350" s="3" t="s">
        <v>17</v>
      </c>
      <c r="B350" s="2" t="s">
        <v>18</v>
      </c>
      <c r="G350" s="69">
        <f>G100</f>
        <v>0</v>
      </c>
    </row>
    <row r="352" spans="1:7">
      <c r="A352" s="3" t="s">
        <v>42</v>
      </c>
      <c r="B352" s="2" t="s">
        <v>43</v>
      </c>
      <c r="G352" s="69">
        <f>G220</f>
        <v>0</v>
      </c>
    </row>
    <row r="354" spans="1:7">
      <c r="A354" s="3" t="s">
        <v>105</v>
      </c>
      <c r="B354" s="2" t="s">
        <v>106</v>
      </c>
      <c r="G354" s="69">
        <f>G228</f>
        <v>0</v>
      </c>
    </row>
    <row r="356" spans="1:7">
      <c r="A356" s="3" t="s">
        <v>109</v>
      </c>
      <c r="B356" s="2" t="s">
        <v>110</v>
      </c>
      <c r="G356" s="69">
        <f>G262</f>
        <v>0</v>
      </c>
    </row>
    <row r="358" spans="1:7">
      <c r="A358" s="3" t="s">
        <v>125</v>
      </c>
      <c r="B358" s="2" t="s">
        <v>126</v>
      </c>
      <c r="G358" s="69">
        <f>G274</f>
        <v>0</v>
      </c>
    </row>
    <row r="360" spans="1:7">
      <c r="A360" s="3" t="s">
        <v>134</v>
      </c>
      <c r="B360" s="2" t="s">
        <v>135</v>
      </c>
      <c r="G360" s="69">
        <f>G307</f>
        <v>0</v>
      </c>
    </row>
    <row r="362" spans="1:7">
      <c r="A362" s="3" t="s">
        <v>136</v>
      </c>
      <c r="B362" s="2" t="s">
        <v>166</v>
      </c>
      <c r="G362" s="69">
        <f>G339</f>
        <v>0</v>
      </c>
    </row>
    <row r="364" spans="1:7">
      <c r="A364" s="3" t="s">
        <v>161</v>
      </c>
      <c r="B364" s="2" t="s">
        <v>167</v>
      </c>
      <c r="C364" s="72"/>
      <c r="D364" s="78"/>
      <c r="E364" s="72"/>
      <c r="F364" s="72"/>
      <c r="G364" s="69">
        <f>G345</f>
        <v>0</v>
      </c>
    </row>
    <row r="365" spans="1:7">
      <c r="C365" s="2"/>
      <c r="D365" s="2"/>
      <c r="E365" s="2"/>
      <c r="F365" s="2"/>
    </row>
    <row r="366" spans="1:7" ht="15.75" thickBot="1">
      <c r="A366" s="73"/>
      <c r="B366" s="74" t="s">
        <v>168</v>
      </c>
      <c r="C366" s="88"/>
      <c r="D366" s="89"/>
      <c r="E366" s="88"/>
      <c r="F366" s="88"/>
      <c r="G366" s="75">
        <f>SUM(G350:G364)</f>
        <v>0</v>
      </c>
    </row>
    <row r="367" spans="1:7" ht="15.75" thickTop="1"/>
  </sheetData>
  <sheetProtection algorithmName="SHA-512" hashValue="QQsp8+oWEHnUx4VzwJO416VF4zz6Cj8zqnv6YLUmJZYVtL/eCPnnY/R0dMnFqrG26qhzpIWiZjT4AiKoTvci/A==" saltValue="rdEDsLP3zcqruLLzeAjLaA==" spinCount="100000" sheet="1" objects="1" scenarios="1" selectLockedCells="1"/>
  <mergeCells count="1">
    <mergeCell ref="A2:G2"/>
  </mergeCells>
  <pageMargins left="0.9055118110236221" right="0.51181102362204722" top="0.6692913385826772" bottom="0.55118110236220474" header="0.31496062992125984" footer="0.31496062992125984"/>
  <pageSetup paperSize="9" scale="90"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C29CF5-9CC2-43FD-82AF-72D8E5D9D5EA}">
  <sheetPr>
    <tabColor rgb="FFFF0000"/>
  </sheetPr>
  <dimension ref="A1:G337"/>
  <sheetViews>
    <sheetView showGridLines="0" view="pageBreakPreview" zoomScaleNormal="100" zoomScaleSheetLayoutView="100" workbookViewId="0">
      <selection activeCell="E309" sqref="E74:E309"/>
    </sheetView>
  </sheetViews>
  <sheetFormatPr defaultRowHeight="15"/>
  <cols>
    <col min="1" max="1" width="10.5703125" style="3" customWidth="1"/>
    <col min="2" max="2" width="44" style="2" customWidth="1"/>
    <col min="3" max="3" width="9.5703125" style="1" customWidth="1"/>
    <col min="4" max="4" width="3.5703125" style="28" customWidth="1"/>
    <col min="5" max="5" width="10.140625" style="1" bestFit="1" customWidth="1"/>
    <col min="6" max="6" width="4.85546875" style="1" customWidth="1"/>
    <col min="7" max="7" width="11.28515625" style="1" customWidth="1"/>
  </cols>
  <sheetData>
    <row r="1" spans="1:7" ht="19.5">
      <c r="A1" s="47" t="s">
        <v>354</v>
      </c>
      <c r="B1" s="47"/>
      <c r="C1" s="48"/>
      <c r="D1" s="27"/>
      <c r="E1" s="48"/>
      <c r="F1" s="48"/>
      <c r="G1" s="114" t="s">
        <v>365</v>
      </c>
    </row>
    <row r="2" spans="1:7" ht="15.75" customHeight="1">
      <c r="A2" s="118" t="s">
        <v>366</v>
      </c>
      <c r="B2" s="118"/>
      <c r="C2" s="118"/>
      <c r="D2" s="118"/>
      <c r="E2" s="118"/>
      <c r="F2" s="118"/>
      <c r="G2" s="118"/>
    </row>
    <row r="3" spans="1:7" ht="18.75">
      <c r="A3" s="11"/>
      <c r="B3" s="12"/>
    </row>
    <row r="4" spans="1:7" ht="18.75">
      <c r="A4" s="5" t="s">
        <v>37</v>
      </c>
      <c r="B4" s="12"/>
    </row>
    <row r="5" spans="1:7" ht="18.75">
      <c r="A5" s="5"/>
      <c r="B5" s="12"/>
    </row>
    <row r="20" spans="1:1">
      <c r="A20" s="3" t="s">
        <v>193</v>
      </c>
    </row>
    <row r="37" spans="1:2">
      <c r="A37" s="3" t="s">
        <v>332</v>
      </c>
    </row>
    <row r="39" spans="1:2">
      <c r="A39" s="5" t="s">
        <v>0</v>
      </c>
      <c r="B39" s="6"/>
    </row>
    <row r="41" spans="1:2" ht="75">
      <c r="A41" s="3" t="s">
        <v>1</v>
      </c>
      <c r="B41" s="2" t="s">
        <v>2</v>
      </c>
    </row>
    <row r="42" spans="1:2" ht="45">
      <c r="A42" s="4" t="s">
        <v>3</v>
      </c>
      <c r="B42" s="2" t="s">
        <v>176</v>
      </c>
    </row>
    <row r="43" spans="1:2" ht="60">
      <c r="A43" s="4" t="s">
        <v>1</v>
      </c>
      <c r="B43" s="2" t="s">
        <v>5</v>
      </c>
    </row>
    <row r="44" spans="1:2" ht="90">
      <c r="A44" s="4" t="s">
        <v>1</v>
      </c>
      <c r="B44" s="2" t="s">
        <v>6</v>
      </c>
    </row>
    <row r="45" spans="1:2" ht="90">
      <c r="A45" s="4" t="s">
        <v>1</v>
      </c>
      <c r="B45" s="2" t="s">
        <v>74</v>
      </c>
    </row>
    <row r="46" spans="1:2" ht="75">
      <c r="A46" s="4" t="s">
        <v>1</v>
      </c>
      <c r="B46" s="2" t="s">
        <v>7</v>
      </c>
    </row>
    <row r="47" spans="1:2" ht="120">
      <c r="A47" s="4" t="s">
        <v>1</v>
      </c>
      <c r="B47" s="2" t="s">
        <v>8</v>
      </c>
    </row>
    <row r="48" spans="1:2" ht="75">
      <c r="A48" s="4" t="s">
        <v>1</v>
      </c>
      <c r="B48" s="2" t="s">
        <v>9</v>
      </c>
    </row>
    <row r="49" spans="1:2" ht="45">
      <c r="A49" s="4" t="s">
        <v>1</v>
      </c>
      <c r="B49" s="2" t="s">
        <v>10</v>
      </c>
    </row>
    <row r="50" spans="1:2" ht="75">
      <c r="A50" s="4" t="s">
        <v>1</v>
      </c>
      <c r="B50" s="2" t="s">
        <v>12</v>
      </c>
    </row>
    <row r="51" spans="1:2" ht="60">
      <c r="A51" s="4" t="s">
        <v>1</v>
      </c>
      <c r="B51" s="2" t="s">
        <v>15</v>
      </c>
    </row>
    <row r="52" spans="1:2" ht="90.75" customHeight="1">
      <c r="A52" s="4" t="s">
        <v>1</v>
      </c>
      <c r="B52" s="2" t="s">
        <v>16</v>
      </c>
    </row>
    <row r="54" spans="1:2">
      <c r="A54" s="5" t="s">
        <v>17</v>
      </c>
      <c r="B54" s="6" t="s">
        <v>18</v>
      </c>
    </row>
    <row r="56" spans="1:2">
      <c r="A56" s="3" t="s">
        <v>19</v>
      </c>
      <c r="B56" s="55" t="s">
        <v>205</v>
      </c>
    </row>
    <row r="57" spans="1:2" ht="75">
      <c r="B57" s="56" t="s">
        <v>21</v>
      </c>
    </row>
    <row r="58" spans="1:2" ht="105">
      <c r="B58" s="56" t="s">
        <v>22</v>
      </c>
    </row>
    <row r="59" spans="1:2">
      <c r="B59" s="9" t="s">
        <v>23</v>
      </c>
    </row>
    <row r="60" spans="1:2" ht="30">
      <c r="B60" s="9" t="s">
        <v>24</v>
      </c>
    </row>
    <row r="61" spans="1:2" ht="45">
      <c r="B61" s="9" t="s">
        <v>25</v>
      </c>
    </row>
    <row r="62" spans="1:2" ht="60">
      <c r="B62" s="9" t="s">
        <v>32</v>
      </c>
    </row>
    <row r="63" spans="1:2" ht="45.75" customHeight="1">
      <c r="B63" s="9" t="s">
        <v>33</v>
      </c>
    </row>
    <row r="64" spans="1:2" ht="75">
      <c r="B64" s="9" t="s">
        <v>34</v>
      </c>
    </row>
    <row r="65" spans="1:7" ht="30">
      <c r="B65" s="9" t="s">
        <v>26</v>
      </c>
    </row>
    <row r="66" spans="1:7" ht="30">
      <c r="B66" s="9" t="s">
        <v>27</v>
      </c>
    </row>
    <row r="67" spans="1:7" ht="45" customHeight="1">
      <c r="B67" s="9" t="s">
        <v>28</v>
      </c>
    </row>
    <row r="68" spans="1:7" ht="60">
      <c r="B68" s="9" t="s">
        <v>29</v>
      </c>
    </row>
    <row r="69" spans="1:7">
      <c r="B69" s="9" t="s">
        <v>30</v>
      </c>
    </row>
    <row r="70" spans="1:7">
      <c r="B70" s="9" t="s">
        <v>31</v>
      </c>
    </row>
    <row r="71" spans="1:7" ht="15" customHeight="1"/>
    <row r="72" spans="1:7" ht="30">
      <c r="B72" s="10" t="s">
        <v>35</v>
      </c>
    </row>
    <row r="74" spans="1:7">
      <c r="B74" s="2" t="s">
        <v>36</v>
      </c>
      <c r="C74" s="1">
        <v>1</v>
      </c>
      <c r="E74" s="101">
        <v>0</v>
      </c>
      <c r="G74" s="69">
        <f>C74*E74</f>
        <v>0</v>
      </c>
    </row>
    <row r="75" spans="1:7">
      <c r="E75" s="104"/>
    </row>
    <row r="76" spans="1:7" ht="15.75" thickBot="1">
      <c r="A76" s="73"/>
      <c r="B76" s="74" t="s">
        <v>40</v>
      </c>
      <c r="C76" s="75"/>
      <c r="D76" s="76"/>
      <c r="E76" s="103"/>
      <c r="F76" s="75" t="s">
        <v>41</v>
      </c>
      <c r="G76" s="75">
        <f>SUM(G54:G75)</f>
        <v>0</v>
      </c>
    </row>
    <row r="77" spans="1:7" ht="15.75" thickTop="1">
      <c r="E77" s="104"/>
    </row>
    <row r="78" spans="1:7">
      <c r="A78" s="5" t="s">
        <v>42</v>
      </c>
      <c r="B78" s="6" t="s">
        <v>43</v>
      </c>
      <c r="E78" s="104"/>
    </row>
    <row r="79" spans="1:7">
      <c r="E79" s="104"/>
    </row>
    <row r="80" spans="1:7" ht="45">
      <c r="A80" s="3" t="s">
        <v>19</v>
      </c>
      <c r="B80" s="2" t="s">
        <v>48</v>
      </c>
      <c r="E80" s="104"/>
    </row>
    <row r="81" spans="1:7">
      <c r="E81" s="104"/>
    </row>
    <row r="82" spans="1:7">
      <c r="B82" s="2" t="s">
        <v>45</v>
      </c>
      <c r="C82" s="1">
        <f>(43.5+3)*18.8*1.05+0.09</f>
        <v>918.00000000000011</v>
      </c>
      <c r="E82" s="101">
        <v>0</v>
      </c>
      <c r="G82" s="69">
        <f>C82*E82</f>
        <v>0</v>
      </c>
    </row>
    <row r="83" spans="1:7">
      <c r="E83" s="104"/>
    </row>
    <row r="84" spans="1:7" ht="30">
      <c r="A84" s="3" t="s">
        <v>46</v>
      </c>
      <c r="B84" s="2" t="s">
        <v>49</v>
      </c>
      <c r="E84" s="104"/>
    </row>
    <row r="85" spans="1:7">
      <c r="E85" s="104"/>
    </row>
    <row r="86" spans="1:7">
      <c r="B86" s="2" t="s">
        <v>36</v>
      </c>
      <c r="C86" s="1">
        <v>3</v>
      </c>
      <c r="E86" s="101">
        <v>0</v>
      </c>
      <c r="G86" s="69">
        <f t="shared" ref="G86:G146" si="0">C86*E86</f>
        <v>0</v>
      </c>
    </row>
    <row r="87" spans="1:7">
      <c r="E87" s="104"/>
    </row>
    <row r="88" spans="1:7" ht="30">
      <c r="A88" s="3" t="s">
        <v>50</v>
      </c>
      <c r="B88" s="2" t="s">
        <v>51</v>
      </c>
      <c r="E88" s="104"/>
    </row>
    <row r="89" spans="1:7">
      <c r="E89" s="104"/>
    </row>
    <row r="90" spans="1:7">
      <c r="B90" s="2" t="s">
        <v>36</v>
      </c>
      <c r="C90" s="1">
        <f>3-1</f>
        <v>2</v>
      </c>
      <c r="E90" s="101">
        <v>0</v>
      </c>
      <c r="G90" s="69">
        <f t="shared" si="0"/>
        <v>0</v>
      </c>
    </row>
    <row r="91" spans="1:7">
      <c r="E91" s="104"/>
    </row>
    <row r="92" spans="1:7" ht="30">
      <c r="A92" s="3" t="s">
        <v>52</v>
      </c>
      <c r="B92" s="2" t="s">
        <v>53</v>
      </c>
      <c r="E92" s="104"/>
    </row>
    <row r="93" spans="1:7">
      <c r="E93" s="104"/>
    </row>
    <row r="94" spans="1:7">
      <c r="B94" s="2" t="s">
        <v>36</v>
      </c>
      <c r="C94" s="1">
        <v>2</v>
      </c>
      <c r="E94" s="101">
        <v>0</v>
      </c>
      <c r="G94" s="69">
        <f t="shared" si="0"/>
        <v>0</v>
      </c>
    </row>
    <row r="95" spans="1:7">
      <c r="E95" s="104"/>
    </row>
    <row r="96" spans="1:7" ht="30">
      <c r="A96" s="3" t="s">
        <v>54</v>
      </c>
      <c r="B96" s="2" t="s">
        <v>55</v>
      </c>
      <c r="E96" s="104"/>
    </row>
    <row r="97" spans="1:7">
      <c r="E97" s="104"/>
    </row>
    <row r="98" spans="1:7">
      <c r="B98" s="2" t="s">
        <v>56</v>
      </c>
      <c r="C98" s="1">
        <f>(43.5+3)*1.05+0.17</f>
        <v>48.995000000000005</v>
      </c>
      <c r="E98" s="101">
        <v>0</v>
      </c>
      <c r="G98" s="69">
        <f t="shared" si="0"/>
        <v>0</v>
      </c>
    </row>
    <row r="99" spans="1:7">
      <c r="E99" s="104"/>
    </row>
    <row r="100" spans="1:7" ht="60">
      <c r="A100" s="3" t="s">
        <v>57</v>
      </c>
      <c r="B100" s="10" t="s">
        <v>44</v>
      </c>
      <c r="E100" s="104"/>
    </row>
    <row r="101" spans="1:7">
      <c r="E101" s="104"/>
    </row>
    <row r="102" spans="1:7">
      <c r="B102" s="2" t="s">
        <v>45</v>
      </c>
      <c r="C102" s="1">
        <f>(9*5*1.7*1.7+14*1.1*1.7+2*1.5*3.5)*1.05-0.07</f>
        <v>174.9965</v>
      </c>
      <c r="E102" s="101">
        <v>0</v>
      </c>
      <c r="G102" s="69">
        <f t="shared" si="0"/>
        <v>0</v>
      </c>
    </row>
    <row r="103" spans="1:7">
      <c r="E103" s="104"/>
    </row>
    <row r="104" spans="1:7" ht="45">
      <c r="A104" s="3" t="s">
        <v>58</v>
      </c>
      <c r="B104" s="2" t="s">
        <v>60</v>
      </c>
      <c r="E104" s="104"/>
    </row>
    <row r="105" spans="1:7">
      <c r="E105" s="104"/>
    </row>
    <row r="106" spans="1:7">
      <c r="B106" s="2" t="s">
        <v>59</v>
      </c>
      <c r="C106" s="1">
        <v>3</v>
      </c>
      <c r="E106" s="101">
        <v>0</v>
      </c>
      <c r="G106" s="69">
        <f t="shared" si="0"/>
        <v>0</v>
      </c>
    </row>
    <row r="107" spans="1:7">
      <c r="E107" s="104"/>
    </row>
    <row r="108" spans="1:7" ht="30">
      <c r="A108" s="3" t="s">
        <v>61</v>
      </c>
      <c r="B108" s="2" t="s">
        <v>62</v>
      </c>
      <c r="E108" s="104"/>
    </row>
    <row r="109" spans="1:7">
      <c r="E109" s="104"/>
    </row>
    <row r="110" spans="1:7">
      <c r="B110" s="2" t="s">
        <v>63</v>
      </c>
      <c r="C110" s="1">
        <v>1</v>
      </c>
      <c r="E110" s="101">
        <v>0</v>
      </c>
      <c r="G110" s="69">
        <f t="shared" si="0"/>
        <v>0</v>
      </c>
    </row>
    <row r="111" spans="1:7">
      <c r="E111" s="104"/>
    </row>
    <row r="112" spans="1:7" ht="90" customHeight="1">
      <c r="A112" s="3" t="s">
        <v>64</v>
      </c>
      <c r="B112" s="17" t="s">
        <v>65</v>
      </c>
      <c r="E112" s="104"/>
    </row>
    <row r="113" spans="1:7">
      <c r="E113" s="104"/>
    </row>
    <row r="114" spans="1:7">
      <c r="B114" s="2" t="s">
        <v>56</v>
      </c>
      <c r="C114" s="1">
        <f>C98</f>
        <v>48.995000000000005</v>
      </c>
      <c r="E114" s="101">
        <v>0</v>
      </c>
      <c r="G114" s="69">
        <f t="shared" si="0"/>
        <v>0</v>
      </c>
    </row>
    <row r="115" spans="1:7">
      <c r="E115" s="104"/>
    </row>
    <row r="116" spans="1:7" ht="75">
      <c r="A116" s="3" t="s">
        <v>66</v>
      </c>
      <c r="B116" s="2" t="s">
        <v>67</v>
      </c>
      <c r="E116" s="104"/>
    </row>
    <row r="117" spans="1:7">
      <c r="E117" s="104"/>
    </row>
    <row r="118" spans="1:7">
      <c r="B118" s="2" t="s">
        <v>59</v>
      </c>
      <c r="C118" s="1">
        <f>(43.5*5/0.8)+0.12</f>
        <v>271.995</v>
      </c>
      <c r="E118" s="101">
        <v>0</v>
      </c>
      <c r="G118" s="69">
        <f t="shared" si="0"/>
        <v>0</v>
      </c>
    </row>
    <row r="119" spans="1:7">
      <c r="E119" s="104"/>
    </row>
    <row r="120" spans="1:7" ht="30" customHeight="1">
      <c r="A120" s="3" t="s">
        <v>68</v>
      </c>
      <c r="B120" s="2" t="s">
        <v>47</v>
      </c>
      <c r="E120" s="104"/>
    </row>
    <row r="121" spans="1:7">
      <c r="E121" s="104"/>
    </row>
    <row r="122" spans="1:7">
      <c r="B122" s="2" t="s">
        <v>45</v>
      </c>
      <c r="C122" s="1">
        <f>(43.5+3)*18.8*1.05+0.09</f>
        <v>918.00000000000011</v>
      </c>
      <c r="E122" s="101">
        <v>0</v>
      </c>
      <c r="G122" s="69">
        <f t="shared" si="0"/>
        <v>0</v>
      </c>
    </row>
    <row r="123" spans="1:7">
      <c r="E123" s="104"/>
    </row>
    <row r="124" spans="1:7" ht="105">
      <c r="A124" s="3" t="s">
        <v>69</v>
      </c>
      <c r="B124" s="2" t="s">
        <v>72</v>
      </c>
      <c r="E124" s="104"/>
    </row>
    <row r="125" spans="1:7">
      <c r="E125" s="104"/>
    </row>
    <row r="126" spans="1:7">
      <c r="B126" s="2" t="s">
        <v>45</v>
      </c>
      <c r="C126" s="1">
        <f>C122*0.6+0.4</f>
        <v>551.20000000000005</v>
      </c>
      <c r="E126" s="101">
        <v>0</v>
      </c>
      <c r="G126" s="69">
        <f t="shared" si="0"/>
        <v>0</v>
      </c>
    </row>
    <row r="127" spans="1:7">
      <c r="E127" s="104"/>
    </row>
    <row r="128" spans="1:7" ht="105" customHeight="1">
      <c r="A128" s="3" t="s">
        <v>70</v>
      </c>
      <c r="B128" s="2" t="s">
        <v>71</v>
      </c>
      <c r="E128" s="104"/>
    </row>
    <row r="129" spans="1:7">
      <c r="E129" s="104"/>
    </row>
    <row r="130" spans="1:7">
      <c r="B130" s="2" t="s">
        <v>45</v>
      </c>
      <c r="C130" s="1">
        <f>C122</f>
        <v>918.00000000000011</v>
      </c>
      <c r="E130" s="101">
        <v>0</v>
      </c>
      <c r="G130" s="69">
        <f t="shared" si="0"/>
        <v>0</v>
      </c>
    </row>
    <row r="131" spans="1:7">
      <c r="E131" s="104"/>
    </row>
    <row r="132" spans="1:7" ht="75">
      <c r="A132" s="3" t="s">
        <v>73</v>
      </c>
      <c r="B132" s="2" t="s">
        <v>75</v>
      </c>
      <c r="E132" s="104"/>
    </row>
    <row r="133" spans="1:7">
      <c r="E133" s="104"/>
    </row>
    <row r="134" spans="1:7">
      <c r="B134" s="2" t="s">
        <v>45</v>
      </c>
      <c r="C134" s="1">
        <f>C126</f>
        <v>551.20000000000005</v>
      </c>
      <c r="E134" s="101">
        <v>0</v>
      </c>
      <c r="G134" s="69">
        <f t="shared" si="0"/>
        <v>0</v>
      </c>
    </row>
    <row r="135" spans="1:7">
      <c r="E135" s="104"/>
    </row>
    <row r="136" spans="1:7" ht="60">
      <c r="A136" s="3" t="s">
        <v>76</v>
      </c>
      <c r="B136" s="2" t="s">
        <v>83</v>
      </c>
      <c r="E136" s="104"/>
    </row>
    <row r="137" spans="1:7">
      <c r="E137" s="104"/>
    </row>
    <row r="138" spans="1:7">
      <c r="B138" s="2" t="s">
        <v>45</v>
      </c>
      <c r="C138" s="1">
        <f>C130</f>
        <v>918.00000000000011</v>
      </c>
      <c r="E138" s="101">
        <v>0</v>
      </c>
      <c r="G138" s="69">
        <f t="shared" si="0"/>
        <v>0</v>
      </c>
    </row>
    <row r="139" spans="1:7">
      <c r="E139" s="104"/>
    </row>
    <row r="140" spans="1:7" ht="45">
      <c r="A140" s="3" t="s">
        <v>77</v>
      </c>
      <c r="B140" s="2" t="s">
        <v>90</v>
      </c>
      <c r="E140" s="104"/>
    </row>
    <row r="141" spans="1:7">
      <c r="E141" s="104"/>
    </row>
    <row r="142" spans="1:7">
      <c r="B142" s="2" t="s">
        <v>45</v>
      </c>
      <c r="C142" s="1">
        <f>C130</f>
        <v>918.00000000000011</v>
      </c>
      <c r="E142" s="101">
        <v>0</v>
      </c>
      <c r="G142" s="69">
        <f t="shared" si="0"/>
        <v>0</v>
      </c>
    </row>
    <row r="143" spans="1:7">
      <c r="E143" s="104"/>
    </row>
    <row r="144" spans="1:7" ht="45">
      <c r="A144" s="3" t="s">
        <v>78</v>
      </c>
      <c r="B144" s="2" t="s">
        <v>89</v>
      </c>
      <c r="E144" s="104"/>
    </row>
    <row r="145" spans="1:7">
      <c r="E145" s="104"/>
    </row>
    <row r="146" spans="1:7">
      <c r="B146" s="2" t="s">
        <v>45</v>
      </c>
      <c r="C146" s="1">
        <f>C114</f>
        <v>48.995000000000005</v>
      </c>
      <c r="E146" s="101">
        <v>0</v>
      </c>
      <c r="G146" s="69">
        <f t="shared" si="0"/>
        <v>0</v>
      </c>
    </row>
    <row r="147" spans="1:7">
      <c r="E147" s="104"/>
    </row>
    <row r="148" spans="1:7" ht="60">
      <c r="A148" s="3" t="s">
        <v>80</v>
      </c>
      <c r="B148" s="2" t="s">
        <v>197</v>
      </c>
      <c r="E148" s="104"/>
    </row>
    <row r="149" spans="1:7">
      <c r="E149" s="104"/>
    </row>
    <row r="150" spans="1:7">
      <c r="B150" s="2" t="s">
        <v>56</v>
      </c>
      <c r="C150" s="1">
        <f>5*(43.5+3)*1.05-0.13</f>
        <v>243.995</v>
      </c>
      <c r="E150" s="101">
        <v>0</v>
      </c>
      <c r="G150" s="69">
        <f t="shared" ref="G150:G190" si="1">C150*E150</f>
        <v>0</v>
      </c>
    </row>
    <row r="151" spans="1:7">
      <c r="E151" s="104"/>
    </row>
    <row r="152" spans="1:7" ht="45" customHeight="1">
      <c r="A152" s="3" t="s">
        <v>82</v>
      </c>
      <c r="B152" s="2" t="s">
        <v>198</v>
      </c>
      <c r="E152" s="104"/>
    </row>
    <row r="153" spans="1:7">
      <c r="E153" s="104"/>
    </row>
    <row r="154" spans="1:7">
      <c r="B154" s="2" t="s">
        <v>56</v>
      </c>
      <c r="C154" s="1">
        <f>C146</f>
        <v>48.995000000000005</v>
      </c>
      <c r="E154" s="101">
        <v>0</v>
      </c>
      <c r="G154" s="69">
        <f t="shared" si="1"/>
        <v>0</v>
      </c>
    </row>
    <row r="155" spans="1:7">
      <c r="E155" s="104"/>
    </row>
    <row r="156" spans="1:7" ht="45">
      <c r="A156" s="3" t="s">
        <v>84</v>
      </c>
      <c r="B156" s="2" t="s">
        <v>207</v>
      </c>
      <c r="E156" s="104"/>
    </row>
    <row r="157" spans="1:7">
      <c r="E157" s="104"/>
    </row>
    <row r="158" spans="1:7">
      <c r="B158" s="2" t="s">
        <v>56</v>
      </c>
      <c r="C158" s="1">
        <f>C154+3.2+3</f>
        <v>55.195000000000007</v>
      </c>
      <c r="E158" s="101">
        <v>0</v>
      </c>
      <c r="G158" s="69">
        <f t="shared" si="1"/>
        <v>0</v>
      </c>
    </row>
    <row r="159" spans="1:7">
      <c r="E159" s="104"/>
    </row>
    <row r="160" spans="1:7" ht="60">
      <c r="A160" s="3" t="s">
        <v>85</v>
      </c>
      <c r="B160" s="2" t="s">
        <v>208</v>
      </c>
      <c r="E160" s="104"/>
    </row>
    <row r="161" spans="1:7">
      <c r="E161" s="104"/>
    </row>
    <row r="162" spans="1:7">
      <c r="B162" s="2" t="s">
        <v>56</v>
      </c>
      <c r="C162" s="1">
        <f>(7*4*2+10*1.3+4*4.8*2+6*3)*1.05-0.67</f>
        <v>131.00000000000003</v>
      </c>
      <c r="E162" s="101">
        <v>0</v>
      </c>
      <c r="G162" s="69">
        <f>C162*E162</f>
        <v>0</v>
      </c>
    </row>
    <row r="163" spans="1:7">
      <c r="E163" s="104"/>
    </row>
    <row r="164" spans="1:7" ht="45">
      <c r="A164" s="2" t="s">
        <v>86</v>
      </c>
      <c r="B164" s="2" t="s">
        <v>189</v>
      </c>
      <c r="E164" s="104"/>
    </row>
    <row r="165" spans="1:7">
      <c r="E165" s="104"/>
    </row>
    <row r="166" spans="1:7">
      <c r="B166" s="2" t="s">
        <v>45</v>
      </c>
      <c r="C166" s="1">
        <f>3.2*2</f>
        <v>6.4</v>
      </c>
      <c r="E166" s="101">
        <v>0</v>
      </c>
      <c r="G166" s="69">
        <f>C166*E166</f>
        <v>0</v>
      </c>
    </row>
    <row r="167" spans="1:7">
      <c r="E167" s="104"/>
    </row>
    <row r="168" spans="1:7" ht="45">
      <c r="A168" s="3" t="s">
        <v>91</v>
      </c>
      <c r="B168" s="2" t="s">
        <v>88</v>
      </c>
      <c r="E168" s="104"/>
    </row>
    <row r="169" spans="1:7">
      <c r="E169" s="104"/>
    </row>
    <row r="170" spans="1:7">
      <c r="B170" s="2" t="s">
        <v>56</v>
      </c>
      <c r="C170" s="1">
        <f>C150+C154+0.01</f>
        <v>293</v>
      </c>
      <c r="E170" s="101">
        <v>0</v>
      </c>
      <c r="G170" s="69">
        <f t="shared" si="1"/>
        <v>0</v>
      </c>
    </row>
    <row r="171" spans="1:7">
      <c r="E171" s="104"/>
    </row>
    <row r="172" spans="1:7">
      <c r="A172" s="3" t="s">
        <v>92</v>
      </c>
      <c r="B172" s="2" t="s">
        <v>220</v>
      </c>
      <c r="E172" s="104"/>
    </row>
    <row r="173" spans="1:7">
      <c r="E173" s="104"/>
    </row>
    <row r="174" spans="1:7">
      <c r="B174" s="2" t="s">
        <v>56</v>
      </c>
      <c r="C174" s="1">
        <f>C162</f>
        <v>131.00000000000003</v>
      </c>
      <c r="E174" s="101">
        <v>0</v>
      </c>
      <c r="G174" s="69">
        <f t="shared" si="1"/>
        <v>0</v>
      </c>
    </row>
    <row r="175" spans="1:7">
      <c r="E175" s="104"/>
    </row>
    <row r="176" spans="1:7" ht="135">
      <c r="A176" s="3" t="s">
        <v>93</v>
      </c>
      <c r="B176" s="2" t="s">
        <v>223</v>
      </c>
      <c r="E176" s="104"/>
    </row>
    <row r="177" spans="1:7">
      <c r="E177" s="104"/>
    </row>
    <row r="178" spans="1:7">
      <c r="B178" s="2" t="s">
        <v>56</v>
      </c>
      <c r="C178" s="1">
        <f>38</f>
        <v>38</v>
      </c>
      <c r="E178" s="101">
        <v>0</v>
      </c>
      <c r="G178" s="69">
        <f>C178*E178</f>
        <v>0</v>
      </c>
    </row>
    <row r="179" spans="1:7">
      <c r="E179" s="104"/>
    </row>
    <row r="180" spans="1:7" ht="60" customHeight="1">
      <c r="A180" s="3" t="s">
        <v>95</v>
      </c>
      <c r="B180" s="2" t="s">
        <v>94</v>
      </c>
      <c r="E180" s="104"/>
    </row>
    <row r="181" spans="1:7">
      <c r="E181" s="104"/>
    </row>
    <row r="182" spans="1:7">
      <c r="B182" s="2" t="s">
        <v>63</v>
      </c>
      <c r="C182" s="1">
        <v>1</v>
      </c>
      <c r="E182" s="101">
        <v>0</v>
      </c>
      <c r="G182" s="69">
        <f t="shared" si="1"/>
        <v>0</v>
      </c>
    </row>
    <row r="183" spans="1:7">
      <c r="E183" s="104"/>
    </row>
    <row r="184" spans="1:7" ht="45">
      <c r="A184" s="3" t="s">
        <v>98</v>
      </c>
      <c r="B184" s="2" t="s">
        <v>96</v>
      </c>
      <c r="E184" s="104"/>
    </row>
    <row r="185" spans="1:7">
      <c r="E185" s="104"/>
    </row>
    <row r="186" spans="1:7">
      <c r="B186" s="2" t="s">
        <v>97</v>
      </c>
      <c r="C186" s="1">
        <f>C122*0.01*1.25+C134*0.03*1.25</f>
        <v>32.145000000000003</v>
      </c>
      <c r="E186" s="101">
        <v>0</v>
      </c>
      <c r="G186" s="69">
        <f t="shared" si="1"/>
        <v>0</v>
      </c>
    </row>
    <row r="187" spans="1:7">
      <c r="E187" s="104"/>
    </row>
    <row r="188" spans="1:7" ht="45">
      <c r="A188" s="3" t="s">
        <v>104</v>
      </c>
      <c r="B188" s="2" t="s">
        <v>99</v>
      </c>
      <c r="E188" s="104"/>
    </row>
    <row r="189" spans="1:7">
      <c r="E189" s="104"/>
    </row>
    <row r="190" spans="1:7">
      <c r="B190" s="2" t="s">
        <v>63</v>
      </c>
      <c r="C190" s="1">
        <v>1</v>
      </c>
      <c r="E190" s="101">
        <v>0</v>
      </c>
      <c r="G190" s="69">
        <f t="shared" si="1"/>
        <v>0</v>
      </c>
    </row>
    <row r="191" spans="1:7">
      <c r="E191" s="104"/>
    </row>
    <row r="192" spans="1:7" ht="15.75" thickBot="1">
      <c r="A192" s="79"/>
      <c r="B192" s="74" t="s">
        <v>100</v>
      </c>
      <c r="C192" s="75"/>
      <c r="D192" s="76"/>
      <c r="E192" s="103"/>
      <c r="F192" s="75" t="s">
        <v>41</v>
      </c>
      <c r="G192" s="75">
        <f>SUM(G78:G191)</f>
        <v>0</v>
      </c>
    </row>
    <row r="193" spans="1:7" ht="15.75" thickTop="1">
      <c r="E193" s="104"/>
    </row>
    <row r="194" spans="1:7">
      <c r="A194" s="5" t="s">
        <v>105</v>
      </c>
      <c r="B194" s="6" t="s">
        <v>106</v>
      </c>
      <c r="E194" s="104"/>
    </row>
    <row r="195" spans="1:7">
      <c r="E195" s="104"/>
    </row>
    <row r="196" spans="1:7" ht="105">
      <c r="A196" s="3" t="s">
        <v>19</v>
      </c>
      <c r="B196" s="22" t="s">
        <v>107</v>
      </c>
      <c r="E196" s="104"/>
    </row>
    <row r="197" spans="1:7">
      <c r="E197" s="104"/>
    </row>
    <row r="198" spans="1:7">
      <c r="B198" s="2" t="s">
        <v>63</v>
      </c>
      <c r="C198" s="1">
        <v>1</v>
      </c>
      <c r="E198" s="101">
        <v>0</v>
      </c>
      <c r="G198" s="69">
        <f>C198*E198</f>
        <v>0</v>
      </c>
    </row>
    <row r="199" spans="1:7">
      <c r="E199" s="104"/>
    </row>
    <row r="200" spans="1:7" ht="60">
      <c r="A200" s="3" t="s">
        <v>46</v>
      </c>
      <c r="B200" s="2" t="s">
        <v>329</v>
      </c>
      <c r="E200" s="104"/>
    </row>
    <row r="201" spans="1:7">
      <c r="E201" s="104"/>
    </row>
    <row r="202" spans="1:7">
      <c r="B202" s="2" t="s">
        <v>45</v>
      </c>
      <c r="C202" s="1">
        <f>((13*2*0.26*1)+4*2*1+4*1*0.3+ 39*1.3)*1.05+0.01</f>
        <v>70.003</v>
      </c>
      <c r="E202" s="101">
        <v>0</v>
      </c>
      <c r="G202" s="69">
        <f>C202*E202</f>
        <v>0</v>
      </c>
    </row>
    <row r="203" spans="1:7">
      <c r="E203" s="104"/>
    </row>
    <row r="204" spans="1:7" ht="15.75" thickBot="1">
      <c r="A204" s="79"/>
      <c r="B204" s="74" t="s">
        <v>108</v>
      </c>
      <c r="C204" s="75"/>
      <c r="D204" s="76"/>
      <c r="E204" s="103"/>
      <c r="F204" s="75" t="s">
        <v>41</v>
      </c>
      <c r="G204" s="75">
        <f>SUM(G194:G203)</f>
        <v>0</v>
      </c>
    </row>
    <row r="205" spans="1:7" ht="15.75" thickTop="1">
      <c r="E205" s="104"/>
    </row>
    <row r="206" spans="1:7">
      <c r="A206" s="5" t="s">
        <v>109</v>
      </c>
      <c r="B206" s="6" t="s">
        <v>110</v>
      </c>
      <c r="E206" s="104"/>
    </row>
    <row r="207" spans="1:7">
      <c r="A207" s="5"/>
      <c r="B207" s="6"/>
      <c r="E207" s="104"/>
    </row>
    <row r="208" spans="1:7" ht="105">
      <c r="A208" s="3" t="s">
        <v>111</v>
      </c>
      <c r="B208" s="2" t="s">
        <v>112</v>
      </c>
      <c r="E208" s="104"/>
    </row>
    <row r="209" spans="1:7">
      <c r="A209" s="5"/>
      <c r="B209" s="6"/>
      <c r="E209" s="104"/>
    </row>
    <row r="210" spans="1:7" ht="60">
      <c r="A210" s="3" t="s">
        <v>19</v>
      </c>
      <c r="B210" s="2" t="s">
        <v>113</v>
      </c>
      <c r="E210" s="104"/>
    </row>
    <row r="211" spans="1:7">
      <c r="E211" s="104"/>
    </row>
    <row r="212" spans="1:7">
      <c r="A212" s="3" t="s">
        <v>114</v>
      </c>
      <c r="B212" s="2" t="s">
        <v>118</v>
      </c>
      <c r="C212" s="1">
        <f>C170+C174</f>
        <v>424</v>
      </c>
      <c r="E212" s="101">
        <v>0</v>
      </c>
      <c r="G212" s="69">
        <f>C212*E212</f>
        <v>0</v>
      </c>
    </row>
    <row r="213" spans="1:7">
      <c r="E213" s="104"/>
    </row>
    <row r="214" spans="1:7">
      <c r="A214" s="3" t="s">
        <v>115</v>
      </c>
      <c r="B214" s="2" t="s">
        <v>221</v>
      </c>
      <c r="C214" s="1">
        <v>6.2</v>
      </c>
      <c r="E214" s="101">
        <v>0</v>
      </c>
      <c r="G214" s="69">
        <f t="shared" ref="G214:G236" si="2">C214*E214</f>
        <v>0</v>
      </c>
    </row>
    <row r="215" spans="1:7">
      <c r="E215" s="104"/>
    </row>
    <row r="216" spans="1:7" ht="60">
      <c r="A216" s="3" t="s">
        <v>46</v>
      </c>
      <c r="B216" s="2" t="s">
        <v>132</v>
      </c>
      <c r="E216" s="104"/>
    </row>
    <row r="217" spans="1:7">
      <c r="E217" s="104"/>
    </row>
    <row r="218" spans="1:7">
      <c r="B218" s="2" t="s">
        <v>56</v>
      </c>
      <c r="C218" s="1">
        <f>4*20</f>
        <v>80</v>
      </c>
      <c r="E218" s="101">
        <v>0</v>
      </c>
      <c r="G218" s="69">
        <f t="shared" si="2"/>
        <v>0</v>
      </c>
    </row>
    <row r="219" spans="1:7">
      <c r="E219" s="104"/>
    </row>
    <row r="220" spans="1:7">
      <c r="A220" s="3" t="s">
        <v>50</v>
      </c>
      <c r="B220" s="2" t="s">
        <v>117</v>
      </c>
      <c r="E220" s="104"/>
    </row>
    <row r="221" spans="1:7">
      <c r="E221" s="104"/>
    </row>
    <row r="222" spans="1:7">
      <c r="A222" s="3" t="s">
        <v>114</v>
      </c>
      <c r="B222" s="2" t="s">
        <v>118</v>
      </c>
      <c r="C222" s="1">
        <f>C212</f>
        <v>424</v>
      </c>
      <c r="E222" s="101">
        <v>0</v>
      </c>
      <c r="G222" s="69">
        <f t="shared" si="2"/>
        <v>0</v>
      </c>
    </row>
    <row r="223" spans="1:7">
      <c r="E223" s="104"/>
    </row>
    <row r="224" spans="1:7">
      <c r="A224" s="3" t="s">
        <v>115</v>
      </c>
      <c r="B224" s="2" t="s">
        <v>222</v>
      </c>
      <c r="C224" s="1">
        <f>C214</f>
        <v>6.2</v>
      </c>
      <c r="E224" s="101">
        <v>0</v>
      </c>
      <c r="G224" s="69">
        <f t="shared" si="2"/>
        <v>0</v>
      </c>
    </row>
    <row r="225" spans="1:7">
      <c r="E225" s="104"/>
    </row>
    <row r="226" spans="1:7" ht="45">
      <c r="A226" s="3" t="s">
        <v>54</v>
      </c>
      <c r="B226" s="2" t="s">
        <v>200</v>
      </c>
      <c r="E226" s="104"/>
    </row>
    <row r="227" spans="1:7">
      <c r="E227" s="104"/>
    </row>
    <row r="228" spans="1:7">
      <c r="B228" s="2" t="s">
        <v>56</v>
      </c>
      <c r="C228" s="1">
        <f>C158</f>
        <v>55.195000000000007</v>
      </c>
      <c r="E228" s="101">
        <v>0</v>
      </c>
      <c r="G228" s="69">
        <f>C228*E228</f>
        <v>0</v>
      </c>
    </row>
    <row r="229" spans="1:7">
      <c r="E229" s="104"/>
    </row>
    <row r="230" spans="1:7">
      <c r="A230" s="3" t="s">
        <v>57</v>
      </c>
      <c r="B230" s="2" t="s">
        <v>183</v>
      </c>
      <c r="E230" s="104"/>
    </row>
    <row r="231" spans="1:7">
      <c r="E231" s="104"/>
    </row>
    <row r="232" spans="1:7">
      <c r="B232" s="2" t="s">
        <v>59</v>
      </c>
      <c r="C232" s="1">
        <v>4</v>
      </c>
      <c r="E232" s="101">
        <v>0</v>
      </c>
      <c r="G232" s="69">
        <f t="shared" si="2"/>
        <v>0</v>
      </c>
    </row>
    <row r="233" spans="1:7">
      <c r="E233" s="104"/>
    </row>
    <row r="234" spans="1:7" ht="60">
      <c r="A234" s="3" t="s">
        <v>58</v>
      </c>
      <c r="B234" s="2" t="s">
        <v>123</v>
      </c>
      <c r="E234" s="104"/>
    </row>
    <row r="235" spans="1:7">
      <c r="E235" s="104"/>
    </row>
    <row r="236" spans="1:7">
      <c r="B236" s="2" t="s">
        <v>56</v>
      </c>
      <c r="C236" s="1">
        <f>C170+C224</f>
        <v>299.2</v>
      </c>
      <c r="E236" s="101">
        <v>0</v>
      </c>
      <c r="G236" s="69">
        <f t="shared" si="2"/>
        <v>0</v>
      </c>
    </row>
    <row r="237" spans="1:7">
      <c r="E237" s="104"/>
    </row>
    <row r="238" spans="1:7" ht="15.75" thickBot="1">
      <c r="A238" s="79"/>
      <c r="B238" s="74" t="s">
        <v>124</v>
      </c>
      <c r="C238" s="75"/>
      <c r="D238" s="76"/>
      <c r="E238" s="103"/>
      <c r="F238" s="75" t="s">
        <v>41</v>
      </c>
      <c r="G238" s="75">
        <f>SUM(G206:G237)</f>
        <v>0</v>
      </c>
    </row>
    <row r="239" spans="1:7" ht="15.75" thickTop="1">
      <c r="E239" s="104"/>
    </row>
    <row r="240" spans="1:7">
      <c r="A240" s="5" t="s">
        <v>125</v>
      </c>
      <c r="B240" s="6" t="s">
        <v>126</v>
      </c>
      <c r="C240" s="25"/>
      <c r="D240" s="30"/>
      <c r="E240" s="105"/>
      <c r="F240" s="25"/>
      <c r="G240" s="25"/>
    </row>
    <row r="241" spans="1:7">
      <c r="E241" s="104"/>
    </row>
    <row r="242" spans="1:7" ht="45">
      <c r="A242" s="3" t="s">
        <v>19</v>
      </c>
      <c r="B242" s="2" t="s">
        <v>127</v>
      </c>
      <c r="E242" s="104"/>
    </row>
    <row r="243" spans="1:7">
      <c r="E243" s="104"/>
    </row>
    <row r="244" spans="1:7">
      <c r="B244" s="2" t="s">
        <v>59</v>
      </c>
      <c r="C244" s="1">
        <v>3</v>
      </c>
      <c r="E244" s="101">
        <v>0</v>
      </c>
      <c r="G244" s="69">
        <f>C244*E244</f>
        <v>0</v>
      </c>
    </row>
    <row r="245" spans="1:7">
      <c r="E245" s="104"/>
    </row>
    <row r="246" spans="1:7" ht="60">
      <c r="A246" s="3" t="s">
        <v>46</v>
      </c>
      <c r="B246" s="2" t="s">
        <v>128</v>
      </c>
      <c r="E246" s="104"/>
    </row>
    <row r="247" spans="1:7">
      <c r="E247" s="104"/>
    </row>
    <row r="248" spans="1:7">
      <c r="B248" s="2" t="s">
        <v>59</v>
      </c>
      <c r="C248" s="1">
        <v>12</v>
      </c>
      <c r="E248" s="101">
        <v>0</v>
      </c>
      <c r="G248" s="69">
        <f>C248*E248</f>
        <v>0</v>
      </c>
    </row>
    <row r="249" spans="1:7">
      <c r="E249" s="104"/>
    </row>
    <row r="250" spans="1:7" ht="15.75" thickBot="1">
      <c r="A250" s="79"/>
      <c r="B250" s="74" t="s">
        <v>129</v>
      </c>
      <c r="C250" s="75"/>
      <c r="D250" s="76"/>
      <c r="E250" s="103"/>
      <c r="F250" s="75" t="s">
        <v>41</v>
      </c>
      <c r="G250" s="75">
        <f>SUM(G240:G249)</f>
        <v>0</v>
      </c>
    </row>
    <row r="251" spans="1:7" ht="15.75" thickTop="1">
      <c r="E251" s="104"/>
    </row>
    <row r="252" spans="1:7">
      <c r="A252" s="5" t="s">
        <v>134</v>
      </c>
      <c r="B252" s="6" t="s">
        <v>135</v>
      </c>
      <c r="E252" s="104"/>
    </row>
    <row r="253" spans="1:7">
      <c r="E253" s="104"/>
    </row>
    <row r="254" spans="1:7" ht="60">
      <c r="A254" s="3" t="s">
        <v>111</v>
      </c>
      <c r="B254" s="2" t="s">
        <v>139</v>
      </c>
      <c r="E254" s="104"/>
    </row>
    <row r="255" spans="1:7">
      <c r="E255" s="104"/>
    </row>
    <row r="256" spans="1:7" ht="105">
      <c r="B256" s="2" t="s">
        <v>141</v>
      </c>
      <c r="E256" s="104"/>
    </row>
    <row r="257" spans="1:7">
      <c r="E257" s="104"/>
    </row>
    <row r="258" spans="1:7" ht="180">
      <c r="A258" s="3" t="s">
        <v>19</v>
      </c>
      <c r="B258" s="2" t="s">
        <v>138</v>
      </c>
      <c r="E258" s="104"/>
    </row>
    <row r="259" spans="1:7">
      <c r="E259" s="104"/>
    </row>
    <row r="260" spans="1:7">
      <c r="B260" s="2" t="s">
        <v>59</v>
      </c>
      <c r="C260" s="1">
        <v>1</v>
      </c>
      <c r="E260" s="101">
        <v>0</v>
      </c>
      <c r="G260" s="69">
        <f>C260*E260</f>
        <v>0</v>
      </c>
    </row>
    <row r="261" spans="1:7">
      <c r="E261" s="104"/>
    </row>
    <row r="262" spans="1:7" ht="45">
      <c r="A262" s="3" t="s">
        <v>46</v>
      </c>
      <c r="B262" s="2" t="s">
        <v>142</v>
      </c>
      <c r="E262" s="104"/>
    </row>
    <row r="263" spans="1:7">
      <c r="E263" s="104"/>
    </row>
    <row r="264" spans="1:7">
      <c r="A264" s="3" t="s">
        <v>115</v>
      </c>
      <c r="B264" s="2" t="s">
        <v>247</v>
      </c>
      <c r="C264" s="1">
        <v>11</v>
      </c>
      <c r="E264" s="101">
        <v>0</v>
      </c>
      <c r="G264" s="69">
        <f t="shared" ref="G264:G277" si="3">C264*E264</f>
        <v>0</v>
      </c>
    </row>
    <row r="265" spans="1:7">
      <c r="E265" s="104"/>
    </row>
    <row r="266" spans="1:7">
      <c r="A266" s="3" t="s">
        <v>115</v>
      </c>
      <c r="B266" s="2" t="s">
        <v>144</v>
      </c>
      <c r="C266" s="1">
        <f>45*0.8</f>
        <v>36</v>
      </c>
      <c r="E266" s="101">
        <v>0</v>
      </c>
      <c r="G266" s="69">
        <f t="shared" si="3"/>
        <v>0</v>
      </c>
    </row>
    <row r="267" spans="1:7">
      <c r="E267" s="104"/>
    </row>
    <row r="268" spans="1:7">
      <c r="E268" s="104"/>
    </row>
    <row r="269" spans="1:7" ht="45">
      <c r="A269" s="3" t="s">
        <v>50</v>
      </c>
      <c r="B269" s="2" t="s">
        <v>192</v>
      </c>
      <c r="E269" s="104"/>
    </row>
    <row r="270" spans="1:7">
      <c r="E270" s="104"/>
    </row>
    <row r="271" spans="1:7">
      <c r="B271" s="2" t="s">
        <v>59</v>
      </c>
      <c r="C271" s="1">
        <v>30</v>
      </c>
      <c r="E271" s="101">
        <v>0</v>
      </c>
      <c r="G271" s="69">
        <f>C271*E271</f>
        <v>0</v>
      </c>
    </row>
    <row r="272" spans="1:7">
      <c r="E272" s="104"/>
    </row>
    <row r="273" spans="1:7" ht="195" customHeight="1">
      <c r="A273" s="3" t="s">
        <v>52</v>
      </c>
      <c r="B273" s="2" t="s">
        <v>184</v>
      </c>
      <c r="E273" s="104"/>
    </row>
    <row r="274" spans="1:7">
      <c r="E274" s="104"/>
    </row>
    <row r="275" spans="1:7">
      <c r="A275" s="3" t="s">
        <v>114</v>
      </c>
      <c r="B275" s="2" t="s">
        <v>246</v>
      </c>
      <c r="C275" s="1">
        <f>C264</f>
        <v>11</v>
      </c>
      <c r="E275" s="101">
        <v>0</v>
      </c>
      <c r="G275" s="69">
        <f t="shared" si="3"/>
        <v>0</v>
      </c>
    </row>
    <row r="276" spans="1:7">
      <c r="E276" s="104"/>
    </row>
    <row r="277" spans="1:7">
      <c r="A277" s="3" t="s">
        <v>115</v>
      </c>
      <c r="B277" s="2" t="s">
        <v>147</v>
      </c>
      <c r="C277" s="1">
        <f>C266</f>
        <v>36</v>
      </c>
      <c r="E277" s="101">
        <v>0</v>
      </c>
      <c r="G277" s="69">
        <f t="shared" si="3"/>
        <v>0</v>
      </c>
    </row>
    <row r="278" spans="1:7">
      <c r="E278" s="104"/>
    </row>
    <row r="279" spans="1:7" ht="15.75" thickBot="1">
      <c r="A279" s="79"/>
      <c r="B279" s="81" t="s">
        <v>153</v>
      </c>
      <c r="C279" s="82"/>
      <c r="D279" s="83"/>
      <c r="E279" s="109"/>
      <c r="F279" s="84" t="s">
        <v>41</v>
      </c>
      <c r="G279" s="85">
        <f>SUM(G252:G278)</f>
        <v>0</v>
      </c>
    </row>
    <row r="280" spans="1:7" ht="15.75" thickTop="1">
      <c r="B280" s="20"/>
      <c r="C280" s="31"/>
      <c r="D280" s="26"/>
      <c r="E280" s="106"/>
      <c r="F280" s="33"/>
      <c r="G280" s="32"/>
    </row>
    <row r="281" spans="1:7">
      <c r="A281" s="5" t="s">
        <v>136</v>
      </c>
      <c r="B281" s="6" t="s">
        <v>137</v>
      </c>
      <c r="E281" s="104"/>
    </row>
    <row r="282" spans="1:7">
      <c r="E282" s="104"/>
    </row>
    <row r="283" spans="1:7" ht="135">
      <c r="A283" s="3" t="s">
        <v>111</v>
      </c>
      <c r="B283" s="2" t="s">
        <v>140</v>
      </c>
      <c r="E283" s="104"/>
    </row>
    <row r="284" spans="1:7">
      <c r="E284" s="104"/>
    </row>
    <row r="285" spans="1:7" ht="90">
      <c r="A285" s="3" t="s">
        <v>19</v>
      </c>
      <c r="B285" s="17" t="s">
        <v>156</v>
      </c>
      <c r="E285" s="104"/>
    </row>
    <row r="286" spans="1:7">
      <c r="B286" s="21"/>
      <c r="E286" s="104"/>
    </row>
    <row r="287" spans="1:7">
      <c r="B287" s="2" t="s">
        <v>45</v>
      </c>
      <c r="C287" s="1">
        <f>C122</f>
        <v>918.00000000000011</v>
      </c>
      <c r="E287" s="101">
        <v>0</v>
      </c>
      <c r="G287" s="69">
        <f>C287*E287</f>
        <v>0</v>
      </c>
    </row>
    <row r="288" spans="1:7">
      <c r="E288" s="104"/>
    </row>
    <row r="289" spans="1:7" ht="90" customHeight="1">
      <c r="A289" s="3" t="s">
        <v>154</v>
      </c>
      <c r="B289" s="17" t="s">
        <v>155</v>
      </c>
      <c r="E289" s="104"/>
    </row>
    <row r="290" spans="1:7">
      <c r="E290" s="104"/>
    </row>
    <row r="291" spans="1:7">
      <c r="B291" s="2" t="s">
        <v>45</v>
      </c>
      <c r="C291" s="1">
        <f>C287</f>
        <v>918.00000000000011</v>
      </c>
      <c r="E291" s="101">
        <v>0</v>
      </c>
      <c r="G291" s="69">
        <f>C291*E291</f>
        <v>0</v>
      </c>
    </row>
    <row r="292" spans="1:7">
      <c r="E292" s="104"/>
    </row>
    <row r="293" spans="1:7" ht="255">
      <c r="A293" s="3" t="s">
        <v>50</v>
      </c>
      <c r="B293" s="17" t="s">
        <v>173</v>
      </c>
      <c r="E293" s="104"/>
    </row>
    <row r="294" spans="1:7">
      <c r="B294" s="17"/>
      <c r="E294" s="104"/>
    </row>
    <row r="295" spans="1:7">
      <c r="A295" s="3" t="s">
        <v>114</v>
      </c>
      <c r="B295" s="17" t="s">
        <v>248</v>
      </c>
      <c r="C295" s="1">
        <v>2</v>
      </c>
      <c r="E295" s="101">
        <v>0</v>
      </c>
      <c r="G295" s="69">
        <f>C295*E295</f>
        <v>0</v>
      </c>
    </row>
    <row r="296" spans="1:7">
      <c r="B296" s="17"/>
      <c r="E296" s="104"/>
    </row>
    <row r="297" spans="1:7">
      <c r="A297" s="3" t="s">
        <v>115</v>
      </c>
      <c r="B297" s="17" t="s">
        <v>147</v>
      </c>
      <c r="C297" s="1">
        <v>6</v>
      </c>
      <c r="E297" s="101">
        <v>0</v>
      </c>
      <c r="G297" s="69">
        <f>C297*E297</f>
        <v>0</v>
      </c>
    </row>
    <row r="298" spans="1:7">
      <c r="B298" s="17"/>
      <c r="E298" s="104"/>
    </row>
    <row r="299" spans="1:7">
      <c r="A299" s="3" t="s">
        <v>218</v>
      </c>
      <c r="B299" s="17" t="s">
        <v>330</v>
      </c>
      <c r="C299" s="1">
        <v>1</v>
      </c>
      <c r="E299" s="101">
        <v>0</v>
      </c>
      <c r="G299" s="69">
        <f>C299*E299</f>
        <v>0</v>
      </c>
    </row>
    <row r="300" spans="1:7">
      <c r="B300" s="17"/>
      <c r="E300" s="104"/>
    </row>
    <row r="301" spans="1:7" ht="60">
      <c r="A301" s="3" t="s">
        <v>52</v>
      </c>
      <c r="B301" s="17" t="s">
        <v>331</v>
      </c>
      <c r="E301" s="104"/>
    </row>
    <row r="302" spans="1:7">
      <c r="B302" s="17"/>
      <c r="E302" s="104"/>
    </row>
    <row r="303" spans="1:7">
      <c r="B303" s="17" t="s">
        <v>56</v>
      </c>
      <c r="C303" s="1">
        <f>(3*38+3*1)</f>
        <v>117</v>
      </c>
      <c r="E303" s="101">
        <v>0</v>
      </c>
      <c r="G303" s="69">
        <f>C303*E303</f>
        <v>0</v>
      </c>
    </row>
    <row r="304" spans="1:7">
      <c r="B304" s="17"/>
      <c r="E304" s="104"/>
    </row>
    <row r="305" spans="1:7" ht="45">
      <c r="A305" s="3" t="s">
        <v>54</v>
      </c>
      <c r="B305" s="17" t="s">
        <v>158</v>
      </c>
      <c r="E305" s="104"/>
    </row>
    <row r="306" spans="1:7">
      <c r="B306" s="17"/>
      <c r="E306" s="104"/>
    </row>
    <row r="307" spans="1:7">
      <c r="B307" s="17" t="s">
        <v>45</v>
      </c>
      <c r="C307" s="1">
        <v>1</v>
      </c>
      <c r="E307" s="101">
        <v>0</v>
      </c>
      <c r="G307" s="69">
        <f>C307*E307</f>
        <v>0</v>
      </c>
    </row>
    <row r="308" spans="1:7">
      <c r="B308" s="17"/>
      <c r="E308" s="104"/>
    </row>
    <row r="309" spans="1:7" ht="15.75" thickBot="1">
      <c r="A309" s="79"/>
      <c r="B309" s="74" t="s">
        <v>160</v>
      </c>
      <c r="C309" s="75"/>
      <c r="D309" s="76"/>
      <c r="E309" s="103"/>
      <c r="F309" s="75" t="s">
        <v>41</v>
      </c>
      <c r="G309" s="75">
        <f>SUM(G281:G308)</f>
        <v>0</v>
      </c>
    </row>
    <row r="310" spans="1:7" ht="15.75" thickTop="1"/>
    <row r="311" spans="1:7">
      <c r="A311" s="5" t="s">
        <v>161</v>
      </c>
      <c r="B311" s="6" t="s">
        <v>162</v>
      </c>
    </row>
    <row r="313" spans="1:7" ht="120">
      <c r="A313" s="3">
        <v>1</v>
      </c>
      <c r="B313" s="2" t="s">
        <v>163</v>
      </c>
      <c r="G313" s="41">
        <f>(G76+G192+G204+G238+G250+G279+G309)*0.1</f>
        <v>0</v>
      </c>
    </row>
    <row r="314" spans="1:7">
      <c r="G314" s="41"/>
    </row>
    <row r="315" spans="1:7" ht="15.75" thickBot="1">
      <c r="A315" s="79"/>
      <c r="B315" s="74" t="s">
        <v>164</v>
      </c>
      <c r="C315" s="75"/>
      <c r="D315" s="76"/>
      <c r="E315" s="75"/>
      <c r="F315" s="75" t="s">
        <v>41</v>
      </c>
      <c r="G315" s="75">
        <f>SUM(G311:G314)</f>
        <v>0</v>
      </c>
    </row>
    <row r="316" spans="1:7" ht="15.75" thickTop="1">
      <c r="A316" s="5"/>
      <c r="B316" s="6"/>
      <c r="C316" s="25"/>
      <c r="D316" s="30"/>
      <c r="E316" s="25"/>
      <c r="F316" s="25"/>
      <c r="G316" s="25"/>
    </row>
    <row r="318" spans="1:7">
      <c r="B318" s="6" t="s">
        <v>165</v>
      </c>
    </row>
    <row r="320" spans="1:7">
      <c r="A320" s="3" t="s">
        <v>17</v>
      </c>
      <c r="B320" s="2" t="s">
        <v>18</v>
      </c>
      <c r="G320" s="69">
        <f>G76</f>
        <v>0</v>
      </c>
    </row>
    <row r="322" spans="1:7">
      <c r="A322" s="3" t="s">
        <v>42</v>
      </c>
      <c r="B322" s="2" t="s">
        <v>43</v>
      </c>
      <c r="G322" s="69">
        <f>G192</f>
        <v>0</v>
      </c>
    </row>
    <row r="324" spans="1:7">
      <c r="A324" s="3" t="s">
        <v>105</v>
      </c>
      <c r="B324" s="2" t="s">
        <v>106</v>
      </c>
      <c r="G324" s="69">
        <f>G204</f>
        <v>0</v>
      </c>
    </row>
    <row r="326" spans="1:7">
      <c r="A326" s="3" t="s">
        <v>109</v>
      </c>
      <c r="B326" s="2" t="s">
        <v>110</v>
      </c>
      <c r="G326" s="69">
        <f>G238</f>
        <v>0</v>
      </c>
    </row>
    <row r="328" spans="1:7">
      <c r="A328" s="3" t="s">
        <v>125</v>
      </c>
      <c r="B328" s="2" t="s">
        <v>126</v>
      </c>
      <c r="G328" s="69">
        <f>G250</f>
        <v>0</v>
      </c>
    </row>
    <row r="330" spans="1:7">
      <c r="A330" s="3" t="s">
        <v>134</v>
      </c>
      <c r="B330" s="2" t="s">
        <v>135</v>
      </c>
      <c r="G330" s="69">
        <f>G279</f>
        <v>0</v>
      </c>
    </row>
    <row r="332" spans="1:7">
      <c r="A332" s="3" t="s">
        <v>136</v>
      </c>
      <c r="B332" s="2" t="s">
        <v>166</v>
      </c>
      <c r="G332" s="69">
        <f>G309</f>
        <v>0</v>
      </c>
    </row>
    <row r="334" spans="1:7">
      <c r="A334" s="3" t="s">
        <v>161</v>
      </c>
      <c r="B334" s="2" t="s">
        <v>167</v>
      </c>
      <c r="G334" s="69">
        <f>G315</f>
        <v>0</v>
      </c>
    </row>
    <row r="336" spans="1:7" ht="15.75" thickBot="1">
      <c r="A336" s="73"/>
      <c r="B336" s="74" t="s">
        <v>168</v>
      </c>
      <c r="C336" s="88"/>
      <c r="D336" s="89"/>
      <c r="E336" s="88"/>
      <c r="F336" s="88"/>
      <c r="G336" s="75">
        <f>SUM(G318:G334)</f>
        <v>0</v>
      </c>
    </row>
    <row r="337" ht="15.75" thickTop="1"/>
  </sheetData>
  <sheetProtection algorithmName="SHA-512" hashValue="0a0THpQwcr+SwcofosVOjuDlEc380SfKsj86/AJinK7dEO1iVP8MesFNvL8y4oeLh02+hgX3eshoxIu/Bx1Y+w==" saltValue="CVBiGkGy0oy0oXWjEEwjew==" spinCount="100000" sheet="1" objects="1" scenarios="1" selectLockedCells="1"/>
  <mergeCells count="1">
    <mergeCell ref="A2:G2"/>
  </mergeCells>
  <pageMargins left="0.9055118110236221" right="0.51181102362204722" top="0.6692913385826772" bottom="0.55118110236220474" header="0.31496062992125984" footer="0.31496062992125984"/>
  <pageSetup paperSize="9" scale="90"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6833D0-FD69-438B-B59A-21DE5CA250F3}">
  <sheetPr>
    <tabColor rgb="FFFF0000"/>
  </sheetPr>
  <dimension ref="A1:G304"/>
  <sheetViews>
    <sheetView showGridLines="0" view="pageBreakPreview" zoomScaleNormal="100" zoomScaleSheetLayoutView="100" workbookViewId="0">
      <selection activeCell="E276" sqref="E74:E276"/>
    </sheetView>
  </sheetViews>
  <sheetFormatPr defaultRowHeight="15"/>
  <cols>
    <col min="1" max="1" width="10.5703125" style="3" customWidth="1"/>
    <col min="2" max="2" width="44" style="2" customWidth="1"/>
    <col min="3" max="3" width="9.5703125" style="1" customWidth="1"/>
    <col min="4" max="4" width="2.28515625" style="28" customWidth="1"/>
    <col min="5" max="5" width="10.140625" style="1" bestFit="1" customWidth="1"/>
    <col min="6" max="6" width="3.7109375" style="1" customWidth="1"/>
    <col min="7" max="7" width="10.85546875" style="1" customWidth="1"/>
  </cols>
  <sheetData>
    <row r="1" spans="1:7" ht="19.5">
      <c r="A1" s="47" t="s">
        <v>356</v>
      </c>
      <c r="B1" s="47"/>
      <c r="C1" s="48"/>
      <c r="D1" s="49"/>
      <c r="E1" s="48"/>
      <c r="F1" s="48"/>
      <c r="G1" s="114" t="s">
        <v>365</v>
      </c>
    </row>
    <row r="2" spans="1:7" ht="15.75" customHeight="1">
      <c r="A2" s="118" t="s">
        <v>366</v>
      </c>
      <c r="B2" s="118"/>
      <c r="C2" s="118"/>
      <c r="D2" s="118"/>
      <c r="E2" s="118"/>
      <c r="F2" s="118"/>
      <c r="G2" s="118"/>
    </row>
    <row r="3" spans="1:7" ht="18.75">
      <c r="A3" s="11"/>
      <c r="B3" s="12"/>
    </row>
    <row r="4" spans="1:7" ht="18.75">
      <c r="A4" s="5" t="s">
        <v>37</v>
      </c>
      <c r="B4" s="12"/>
    </row>
    <row r="5" spans="1:7" ht="18.75">
      <c r="A5" s="5"/>
      <c r="B5" s="12"/>
    </row>
    <row r="20" spans="1:1">
      <c r="A20" s="3" t="s">
        <v>193</v>
      </c>
    </row>
    <row r="37" spans="1:2">
      <c r="A37" s="3" t="s">
        <v>251</v>
      </c>
    </row>
    <row r="39" spans="1:2">
      <c r="A39" s="5" t="s">
        <v>0</v>
      </c>
      <c r="B39" s="6"/>
    </row>
    <row r="41" spans="1:2" ht="75">
      <c r="A41" s="3" t="s">
        <v>1</v>
      </c>
      <c r="B41" s="2" t="s">
        <v>2</v>
      </c>
    </row>
    <row r="42" spans="1:2" ht="45">
      <c r="A42" s="4" t="s">
        <v>3</v>
      </c>
      <c r="B42" s="2" t="s">
        <v>176</v>
      </c>
    </row>
    <row r="43" spans="1:2" ht="60">
      <c r="A43" s="4" t="s">
        <v>1</v>
      </c>
      <c r="B43" s="2" t="s">
        <v>5</v>
      </c>
    </row>
    <row r="44" spans="1:2" ht="90">
      <c r="A44" s="4" t="s">
        <v>1</v>
      </c>
      <c r="B44" s="2" t="s">
        <v>6</v>
      </c>
    </row>
    <row r="45" spans="1:2" ht="90">
      <c r="A45" s="4" t="s">
        <v>1</v>
      </c>
      <c r="B45" s="2" t="s">
        <v>74</v>
      </c>
    </row>
    <row r="46" spans="1:2" ht="75">
      <c r="A46" s="4" t="s">
        <v>1</v>
      </c>
      <c r="B46" s="2" t="s">
        <v>7</v>
      </c>
    </row>
    <row r="47" spans="1:2" ht="105" customHeight="1">
      <c r="A47" s="4" t="s">
        <v>1</v>
      </c>
      <c r="B47" s="2" t="s">
        <v>8</v>
      </c>
    </row>
    <row r="48" spans="1:2" ht="75">
      <c r="A48" s="4" t="s">
        <v>1</v>
      </c>
      <c r="B48" s="2" t="s">
        <v>9</v>
      </c>
    </row>
    <row r="49" spans="1:2" ht="45">
      <c r="A49" s="4" t="s">
        <v>1</v>
      </c>
      <c r="B49" s="2" t="s">
        <v>10</v>
      </c>
    </row>
    <row r="50" spans="1:2" ht="75">
      <c r="A50" s="4" t="s">
        <v>1</v>
      </c>
      <c r="B50" s="2" t="s">
        <v>12</v>
      </c>
    </row>
    <row r="51" spans="1:2" ht="60">
      <c r="A51" s="4" t="s">
        <v>1</v>
      </c>
      <c r="B51" s="2" t="s">
        <v>171</v>
      </c>
    </row>
    <row r="52" spans="1:2" ht="90" customHeight="1">
      <c r="A52" s="4" t="s">
        <v>1</v>
      </c>
      <c r="B52" s="2" t="s">
        <v>16</v>
      </c>
    </row>
    <row r="54" spans="1:2">
      <c r="A54" s="5" t="s">
        <v>17</v>
      </c>
      <c r="B54" s="6" t="s">
        <v>18</v>
      </c>
    </row>
    <row r="56" spans="1:2">
      <c r="A56" s="3" t="s">
        <v>19</v>
      </c>
      <c r="B56" s="7" t="s">
        <v>205</v>
      </c>
    </row>
    <row r="57" spans="1:2" ht="75">
      <c r="B57" s="8" t="s">
        <v>21</v>
      </c>
    </row>
    <row r="58" spans="1:2" ht="105">
      <c r="B58" s="8" t="s">
        <v>22</v>
      </c>
    </row>
    <row r="59" spans="1:2">
      <c r="B59" s="9" t="s">
        <v>23</v>
      </c>
    </row>
    <row r="60" spans="1:2" ht="30">
      <c r="B60" s="9" t="s">
        <v>24</v>
      </c>
    </row>
    <row r="61" spans="1:2" ht="45">
      <c r="B61" s="9" t="s">
        <v>25</v>
      </c>
    </row>
    <row r="62" spans="1:2" ht="60">
      <c r="B62" s="9" t="s">
        <v>32</v>
      </c>
    </row>
    <row r="63" spans="1:2" ht="45">
      <c r="B63" s="9" t="s">
        <v>33</v>
      </c>
    </row>
    <row r="64" spans="1:2" ht="75">
      <c r="B64" s="9" t="s">
        <v>34</v>
      </c>
    </row>
    <row r="65" spans="1:7" ht="30">
      <c r="B65" s="9" t="s">
        <v>26</v>
      </c>
    </row>
    <row r="66" spans="1:7" ht="30">
      <c r="B66" s="9" t="s">
        <v>27</v>
      </c>
    </row>
    <row r="67" spans="1:7" ht="45">
      <c r="B67" s="9" t="s">
        <v>28</v>
      </c>
    </row>
    <row r="68" spans="1:7" ht="60">
      <c r="B68" s="9" t="s">
        <v>29</v>
      </c>
    </row>
    <row r="69" spans="1:7">
      <c r="B69" s="9" t="s">
        <v>30</v>
      </c>
    </row>
    <row r="70" spans="1:7">
      <c r="B70" s="9" t="s">
        <v>31</v>
      </c>
    </row>
    <row r="72" spans="1:7" ht="30">
      <c r="B72" s="10" t="s">
        <v>35</v>
      </c>
    </row>
    <row r="74" spans="1:7">
      <c r="B74" s="2" t="s">
        <v>36</v>
      </c>
      <c r="C74" s="1">
        <v>1</v>
      </c>
      <c r="E74" s="101">
        <v>0</v>
      </c>
      <c r="G74" s="69">
        <f>C74*E74</f>
        <v>0</v>
      </c>
    </row>
    <row r="75" spans="1:7">
      <c r="E75" s="104"/>
    </row>
    <row r="76" spans="1:7" ht="15.75" thickBot="1">
      <c r="A76" s="73"/>
      <c r="B76" s="74" t="s">
        <v>40</v>
      </c>
      <c r="C76" s="75"/>
      <c r="D76" s="76"/>
      <c r="E76" s="103"/>
      <c r="F76" s="75" t="s">
        <v>41</v>
      </c>
      <c r="G76" s="75">
        <f>SUM(G54:G75)</f>
        <v>0</v>
      </c>
    </row>
    <row r="77" spans="1:7" ht="15.75" thickTop="1">
      <c r="E77" s="104"/>
    </row>
    <row r="78" spans="1:7">
      <c r="A78" s="5" t="s">
        <v>42</v>
      </c>
      <c r="B78" s="6" t="s">
        <v>43</v>
      </c>
      <c r="E78" s="104"/>
    </row>
    <row r="79" spans="1:7">
      <c r="E79" s="104"/>
    </row>
    <row r="80" spans="1:7" ht="45">
      <c r="A80" s="3" t="s">
        <v>19</v>
      </c>
      <c r="B80" s="2" t="s">
        <v>48</v>
      </c>
      <c r="E80" s="104"/>
    </row>
    <row r="81" spans="1:7">
      <c r="E81" s="104"/>
    </row>
    <row r="82" spans="1:7">
      <c r="B82" s="2" t="s">
        <v>45</v>
      </c>
      <c r="C82" s="1">
        <f>(13.5+1)*18.8*1.05+0.77</f>
        <v>287</v>
      </c>
      <c r="E82" s="101">
        <v>0</v>
      </c>
      <c r="G82" s="69">
        <f>C82*E82</f>
        <v>0</v>
      </c>
    </row>
    <row r="83" spans="1:7">
      <c r="E83" s="104"/>
    </row>
    <row r="84" spans="1:7" ht="30">
      <c r="A84" s="3" t="s">
        <v>46</v>
      </c>
      <c r="B84" s="2" t="s">
        <v>49</v>
      </c>
      <c r="E84" s="104"/>
    </row>
    <row r="85" spans="1:7">
      <c r="E85" s="104"/>
    </row>
    <row r="86" spans="1:7">
      <c r="B86" s="2" t="s">
        <v>36</v>
      </c>
      <c r="C86" s="1">
        <v>1</v>
      </c>
      <c r="E86" s="101">
        <v>0</v>
      </c>
      <c r="G86" s="69">
        <f t="shared" ref="G86:G146" si="0">C86*E86</f>
        <v>0</v>
      </c>
    </row>
    <row r="87" spans="1:7">
      <c r="E87" s="104"/>
    </row>
    <row r="88" spans="1:7" ht="30">
      <c r="A88" s="3" t="s">
        <v>50</v>
      </c>
      <c r="B88" s="2" t="s">
        <v>51</v>
      </c>
      <c r="E88" s="104"/>
    </row>
    <row r="89" spans="1:7">
      <c r="E89" s="104"/>
    </row>
    <row r="90" spans="1:7">
      <c r="B90" s="2" t="s">
        <v>36</v>
      </c>
      <c r="C90" s="1">
        <v>1</v>
      </c>
      <c r="E90" s="101">
        <v>0</v>
      </c>
      <c r="G90" s="69">
        <f t="shared" si="0"/>
        <v>0</v>
      </c>
    </row>
    <row r="91" spans="1:7">
      <c r="E91" s="104"/>
    </row>
    <row r="92" spans="1:7" ht="30">
      <c r="A92" s="3" t="s">
        <v>52</v>
      </c>
      <c r="B92" s="2" t="s">
        <v>53</v>
      </c>
      <c r="E92" s="104"/>
    </row>
    <row r="93" spans="1:7">
      <c r="E93" s="104"/>
    </row>
    <row r="94" spans="1:7">
      <c r="B94" s="2" t="s">
        <v>36</v>
      </c>
      <c r="C94" s="1">
        <v>1</v>
      </c>
      <c r="E94" s="101">
        <v>0</v>
      </c>
      <c r="G94" s="69">
        <f t="shared" si="0"/>
        <v>0</v>
      </c>
    </row>
    <row r="95" spans="1:7">
      <c r="E95" s="104"/>
    </row>
    <row r="96" spans="1:7" ht="15" customHeight="1">
      <c r="A96" s="3" t="s">
        <v>54</v>
      </c>
      <c r="B96" s="2" t="s">
        <v>55</v>
      </c>
      <c r="E96" s="104"/>
    </row>
    <row r="97" spans="1:7">
      <c r="E97" s="104"/>
    </row>
    <row r="98" spans="1:7">
      <c r="B98" s="2" t="s">
        <v>56</v>
      </c>
      <c r="C98" s="1">
        <f>13.5*1.05-0.18</f>
        <v>13.995000000000001</v>
      </c>
      <c r="E98" s="101">
        <v>0</v>
      </c>
      <c r="G98" s="69">
        <f t="shared" si="0"/>
        <v>0</v>
      </c>
    </row>
    <row r="99" spans="1:7">
      <c r="E99" s="104"/>
    </row>
    <row r="100" spans="1:7" ht="60">
      <c r="A100" s="3" t="s">
        <v>57</v>
      </c>
      <c r="B100" s="10" t="s">
        <v>44</v>
      </c>
      <c r="E100" s="104"/>
    </row>
    <row r="101" spans="1:7">
      <c r="E101" s="104"/>
    </row>
    <row r="102" spans="1:7">
      <c r="B102" s="2" t="s">
        <v>45</v>
      </c>
      <c r="C102" s="1">
        <f>(20*1.7*1.7)*1.05+0.31</f>
        <v>61</v>
      </c>
      <c r="E102" s="101">
        <v>0</v>
      </c>
      <c r="G102" s="69">
        <f t="shared" si="0"/>
        <v>0</v>
      </c>
    </row>
    <row r="103" spans="1:7">
      <c r="E103" s="104"/>
    </row>
    <row r="104" spans="1:7" ht="45">
      <c r="A104" s="3" t="s">
        <v>58</v>
      </c>
      <c r="B104" s="2" t="s">
        <v>60</v>
      </c>
      <c r="E104" s="104"/>
    </row>
    <row r="105" spans="1:7">
      <c r="E105" s="104"/>
    </row>
    <row r="106" spans="1:7">
      <c r="B106" s="2" t="s">
        <v>59</v>
      </c>
      <c r="C106" s="1">
        <v>1</v>
      </c>
      <c r="E106" s="101">
        <v>0</v>
      </c>
      <c r="G106" s="69">
        <f t="shared" si="0"/>
        <v>0</v>
      </c>
    </row>
    <row r="107" spans="1:7">
      <c r="E107" s="104"/>
    </row>
    <row r="108" spans="1:7" ht="30">
      <c r="A108" s="3" t="s">
        <v>61</v>
      </c>
      <c r="B108" s="2" t="s">
        <v>62</v>
      </c>
      <c r="E108" s="104"/>
    </row>
    <row r="109" spans="1:7">
      <c r="E109" s="104"/>
    </row>
    <row r="110" spans="1:7">
      <c r="B110" s="2" t="s">
        <v>63</v>
      </c>
      <c r="C110" s="1">
        <v>1</v>
      </c>
      <c r="E110" s="101">
        <v>0</v>
      </c>
      <c r="G110" s="69">
        <f t="shared" si="0"/>
        <v>0</v>
      </c>
    </row>
    <row r="111" spans="1:7">
      <c r="E111" s="104"/>
    </row>
    <row r="112" spans="1:7" ht="90" customHeight="1">
      <c r="A112" s="3" t="s">
        <v>64</v>
      </c>
      <c r="B112" s="17" t="s">
        <v>65</v>
      </c>
      <c r="E112" s="104"/>
    </row>
    <row r="113" spans="1:7">
      <c r="E113" s="104"/>
    </row>
    <row r="114" spans="1:7">
      <c r="B114" s="2" t="s">
        <v>56</v>
      </c>
      <c r="C114" s="1">
        <f>C98</f>
        <v>13.995000000000001</v>
      </c>
      <c r="E114" s="101">
        <v>0</v>
      </c>
      <c r="G114" s="69">
        <f t="shared" si="0"/>
        <v>0</v>
      </c>
    </row>
    <row r="115" spans="1:7">
      <c r="E115" s="104"/>
    </row>
    <row r="116" spans="1:7" ht="75">
      <c r="A116" s="3" t="s">
        <v>66</v>
      </c>
      <c r="B116" s="2" t="s">
        <v>67</v>
      </c>
      <c r="E116" s="104"/>
    </row>
    <row r="117" spans="1:7">
      <c r="E117" s="104"/>
    </row>
    <row r="118" spans="1:7">
      <c r="B118" s="2" t="s">
        <v>59</v>
      </c>
      <c r="C118" s="1">
        <f>(4*14/0.8)*1.05+0.5</f>
        <v>74</v>
      </c>
      <c r="E118" s="101">
        <v>0</v>
      </c>
      <c r="G118" s="69">
        <f t="shared" si="0"/>
        <v>0</v>
      </c>
    </row>
    <row r="119" spans="1:7">
      <c r="E119" s="104"/>
    </row>
    <row r="120" spans="1:7" ht="30" customHeight="1">
      <c r="A120" s="3" t="s">
        <v>68</v>
      </c>
      <c r="B120" s="2" t="s">
        <v>47</v>
      </c>
      <c r="E120" s="104"/>
    </row>
    <row r="121" spans="1:7">
      <c r="E121" s="104"/>
    </row>
    <row r="122" spans="1:7">
      <c r="B122" s="2" t="s">
        <v>45</v>
      </c>
      <c r="C122" s="1">
        <f>13.5*18.8*1.05+0.51</f>
        <v>267</v>
      </c>
      <c r="E122" s="101">
        <v>0</v>
      </c>
      <c r="G122" s="69">
        <f t="shared" si="0"/>
        <v>0</v>
      </c>
    </row>
    <row r="123" spans="1:7">
      <c r="E123" s="104"/>
    </row>
    <row r="124" spans="1:7" ht="105">
      <c r="A124" s="3" t="s">
        <v>69</v>
      </c>
      <c r="B124" s="2" t="s">
        <v>72</v>
      </c>
      <c r="E124" s="104"/>
    </row>
    <row r="125" spans="1:7">
      <c r="E125" s="104"/>
    </row>
    <row r="126" spans="1:7">
      <c r="B126" s="2" t="s">
        <v>45</v>
      </c>
      <c r="C126" s="1">
        <f>C122*0.6</f>
        <v>160.19999999999999</v>
      </c>
      <c r="E126" s="101">
        <v>0</v>
      </c>
      <c r="G126" s="69">
        <f t="shared" si="0"/>
        <v>0</v>
      </c>
    </row>
    <row r="127" spans="1:7">
      <c r="E127" s="104"/>
    </row>
    <row r="128" spans="1:7" ht="105" customHeight="1">
      <c r="A128" s="3" t="s">
        <v>70</v>
      </c>
      <c r="B128" s="2" t="s">
        <v>71</v>
      </c>
      <c r="E128" s="104"/>
    </row>
    <row r="129" spans="1:7">
      <c r="E129" s="104"/>
    </row>
    <row r="130" spans="1:7">
      <c r="B130" s="2" t="s">
        <v>45</v>
      </c>
      <c r="C130" s="1">
        <f>C122</f>
        <v>267</v>
      </c>
      <c r="E130" s="101">
        <v>0</v>
      </c>
      <c r="G130" s="69">
        <f t="shared" si="0"/>
        <v>0</v>
      </c>
    </row>
    <row r="131" spans="1:7">
      <c r="E131" s="104"/>
    </row>
    <row r="132" spans="1:7" ht="75">
      <c r="A132" s="3" t="s">
        <v>73</v>
      </c>
      <c r="B132" s="2" t="s">
        <v>75</v>
      </c>
      <c r="E132" s="104"/>
    </row>
    <row r="133" spans="1:7">
      <c r="E133" s="104"/>
    </row>
    <row r="134" spans="1:7">
      <c r="B134" s="2" t="s">
        <v>45</v>
      </c>
      <c r="C134" s="1">
        <f>C126</f>
        <v>160.19999999999999</v>
      </c>
      <c r="E134" s="101">
        <v>0</v>
      </c>
      <c r="G134" s="69">
        <f t="shared" si="0"/>
        <v>0</v>
      </c>
    </row>
    <row r="135" spans="1:7">
      <c r="E135" s="104"/>
    </row>
    <row r="136" spans="1:7" ht="60">
      <c r="A136" s="3" t="s">
        <v>76</v>
      </c>
      <c r="B136" s="2" t="s">
        <v>83</v>
      </c>
      <c r="E136" s="104"/>
    </row>
    <row r="137" spans="1:7">
      <c r="E137" s="104"/>
    </row>
    <row r="138" spans="1:7">
      <c r="B138" s="2" t="s">
        <v>45</v>
      </c>
      <c r="C138" s="1">
        <f>C130</f>
        <v>267</v>
      </c>
      <c r="E138" s="101">
        <v>0</v>
      </c>
      <c r="G138" s="69">
        <f t="shared" si="0"/>
        <v>0</v>
      </c>
    </row>
    <row r="139" spans="1:7">
      <c r="E139" s="104"/>
    </row>
    <row r="140" spans="1:7" ht="45">
      <c r="A140" s="3" t="s">
        <v>77</v>
      </c>
      <c r="B140" s="2" t="s">
        <v>90</v>
      </c>
      <c r="E140" s="104"/>
    </row>
    <row r="141" spans="1:7">
      <c r="E141" s="104"/>
    </row>
    <row r="142" spans="1:7">
      <c r="B142" s="2" t="s">
        <v>45</v>
      </c>
      <c r="C142" s="1">
        <f>C130</f>
        <v>267</v>
      </c>
      <c r="E142" s="101">
        <v>0</v>
      </c>
      <c r="G142" s="69">
        <f t="shared" si="0"/>
        <v>0</v>
      </c>
    </row>
    <row r="143" spans="1:7">
      <c r="E143" s="104"/>
    </row>
    <row r="144" spans="1:7" ht="45">
      <c r="A144" s="3" t="s">
        <v>78</v>
      </c>
      <c r="B144" s="2" t="s">
        <v>89</v>
      </c>
      <c r="E144" s="104"/>
    </row>
    <row r="145" spans="1:7">
      <c r="E145" s="104"/>
    </row>
    <row r="146" spans="1:7">
      <c r="B146" s="2" t="s">
        <v>45</v>
      </c>
      <c r="C146" s="1">
        <f>C114</f>
        <v>13.995000000000001</v>
      </c>
      <c r="E146" s="101">
        <v>0</v>
      </c>
      <c r="G146" s="69">
        <f t="shared" si="0"/>
        <v>0</v>
      </c>
    </row>
    <row r="147" spans="1:7">
      <c r="E147" s="104"/>
    </row>
    <row r="148" spans="1:7" ht="60">
      <c r="A148" s="3" t="s">
        <v>80</v>
      </c>
      <c r="B148" s="2" t="s">
        <v>197</v>
      </c>
      <c r="E148" s="104"/>
    </row>
    <row r="149" spans="1:7">
      <c r="E149" s="104"/>
    </row>
    <row r="150" spans="1:7">
      <c r="B150" s="2" t="s">
        <v>56</v>
      </c>
      <c r="C150" s="1">
        <f>(5*13.5)*1.05+0.12</f>
        <v>70.995000000000005</v>
      </c>
      <c r="E150" s="101">
        <v>0</v>
      </c>
      <c r="G150" s="69">
        <f t="shared" ref="G150:G182" si="1">C150*E150</f>
        <v>0</v>
      </c>
    </row>
    <row r="151" spans="1:7">
      <c r="E151" s="104"/>
    </row>
    <row r="152" spans="1:7" ht="45" customHeight="1">
      <c r="A152" s="3" t="s">
        <v>82</v>
      </c>
      <c r="B152" s="2" t="s">
        <v>198</v>
      </c>
      <c r="E152" s="104"/>
    </row>
    <row r="153" spans="1:7">
      <c r="E153" s="104"/>
    </row>
    <row r="154" spans="1:7">
      <c r="B154" s="2" t="s">
        <v>56</v>
      </c>
      <c r="C154" s="1">
        <f>C146</f>
        <v>13.995000000000001</v>
      </c>
      <c r="E154" s="101">
        <v>0</v>
      </c>
      <c r="G154" s="69">
        <f t="shared" si="1"/>
        <v>0</v>
      </c>
    </row>
    <row r="155" spans="1:7">
      <c r="E155" s="104"/>
    </row>
    <row r="156" spans="1:7" ht="45">
      <c r="A156" s="3" t="s">
        <v>84</v>
      </c>
      <c r="B156" s="2" t="s">
        <v>207</v>
      </c>
      <c r="E156" s="104"/>
    </row>
    <row r="157" spans="1:7">
      <c r="E157" s="104"/>
    </row>
    <row r="158" spans="1:7">
      <c r="B158" s="2" t="s">
        <v>56</v>
      </c>
      <c r="C158" s="1">
        <f>C154</f>
        <v>13.995000000000001</v>
      </c>
      <c r="E158" s="101">
        <v>0</v>
      </c>
      <c r="G158" s="69">
        <f t="shared" si="1"/>
        <v>0</v>
      </c>
    </row>
    <row r="159" spans="1:7">
      <c r="E159" s="104"/>
    </row>
    <row r="160" spans="1:7" ht="60">
      <c r="A160" s="3" t="s">
        <v>85</v>
      </c>
      <c r="B160" s="2" t="s">
        <v>208</v>
      </c>
      <c r="E160" s="104"/>
    </row>
    <row r="161" spans="1:7">
      <c r="E161" s="104"/>
    </row>
    <row r="162" spans="1:7">
      <c r="B162" s="2" t="s">
        <v>56</v>
      </c>
      <c r="C162" s="1">
        <f>(16*1.9+5*4.9)*1.05+0.35</f>
        <v>57.995000000000005</v>
      </c>
      <c r="E162" s="101">
        <v>0</v>
      </c>
      <c r="G162" s="69">
        <f>C162*E162</f>
        <v>0</v>
      </c>
    </row>
    <row r="163" spans="1:7">
      <c r="E163" s="104"/>
    </row>
    <row r="164" spans="1:7" ht="45">
      <c r="A164" s="3" t="s">
        <v>86</v>
      </c>
      <c r="B164" s="2" t="s">
        <v>88</v>
      </c>
      <c r="E164" s="104"/>
    </row>
    <row r="165" spans="1:7">
      <c r="E165" s="104"/>
    </row>
    <row r="166" spans="1:7">
      <c r="B166" s="2" t="s">
        <v>56</v>
      </c>
      <c r="C166" s="1">
        <f>C150+C154+0.01</f>
        <v>85.000000000000014</v>
      </c>
      <c r="E166" s="101">
        <v>0</v>
      </c>
      <c r="G166" s="69">
        <f t="shared" si="1"/>
        <v>0</v>
      </c>
    </row>
    <row r="167" spans="1:7">
      <c r="E167" s="104"/>
    </row>
    <row r="168" spans="1:7">
      <c r="A168" s="3" t="s">
        <v>91</v>
      </c>
      <c r="B168" s="2" t="s">
        <v>220</v>
      </c>
      <c r="E168" s="104"/>
    </row>
    <row r="169" spans="1:7">
      <c r="E169" s="104"/>
    </row>
    <row r="170" spans="1:7">
      <c r="B170" s="2" t="s">
        <v>56</v>
      </c>
      <c r="C170" s="1">
        <f>C162</f>
        <v>57.995000000000005</v>
      </c>
      <c r="E170" s="101">
        <v>0</v>
      </c>
      <c r="G170" s="69">
        <f t="shared" si="1"/>
        <v>0</v>
      </c>
    </row>
    <row r="171" spans="1:7">
      <c r="E171" s="104"/>
    </row>
    <row r="172" spans="1:7" ht="60" customHeight="1">
      <c r="A172" s="3" t="s">
        <v>92</v>
      </c>
      <c r="B172" s="2" t="s">
        <v>252</v>
      </c>
      <c r="E172" s="104"/>
    </row>
    <row r="173" spans="1:7">
      <c r="E173" s="104"/>
    </row>
    <row r="174" spans="1:7">
      <c r="B174" s="2" t="s">
        <v>63</v>
      </c>
      <c r="C174" s="1">
        <v>1</v>
      </c>
      <c r="E174" s="101">
        <v>0</v>
      </c>
      <c r="G174" s="69">
        <f t="shared" si="1"/>
        <v>0</v>
      </c>
    </row>
    <row r="175" spans="1:7">
      <c r="E175" s="104"/>
    </row>
    <row r="176" spans="1:7" ht="45">
      <c r="A176" s="3" t="s">
        <v>93</v>
      </c>
      <c r="B176" s="2" t="s">
        <v>96</v>
      </c>
      <c r="E176" s="104"/>
    </row>
    <row r="177" spans="1:7">
      <c r="E177" s="104"/>
    </row>
    <row r="178" spans="1:7">
      <c r="B178" s="2" t="s">
        <v>97</v>
      </c>
      <c r="C178" s="1">
        <f>C122*0.01*1.25+C134*0.03*1.25</f>
        <v>9.3449999999999989</v>
      </c>
      <c r="E178" s="101">
        <v>0</v>
      </c>
      <c r="G178" s="69">
        <f t="shared" si="1"/>
        <v>0</v>
      </c>
    </row>
    <row r="179" spans="1:7">
      <c r="E179" s="104"/>
    </row>
    <row r="180" spans="1:7" ht="45">
      <c r="A180" s="3" t="s">
        <v>104</v>
      </c>
      <c r="B180" s="2" t="s">
        <v>99</v>
      </c>
      <c r="E180" s="104"/>
    </row>
    <row r="181" spans="1:7">
      <c r="E181" s="104"/>
    </row>
    <row r="182" spans="1:7">
      <c r="B182" s="2" t="s">
        <v>63</v>
      </c>
      <c r="C182" s="1">
        <v>1</v>
      </c>
      <c r="E182" s="101">
        <v>0</v>
      </c>
      <c r="G182" s="69">
        <f t="shared" si="1"/>
        <v>0</v>
      </c>
    </row>
    <row r="183" spans="1:7">
      <c r="E183" s="104"/>
    </row>
    <row r="184" spans="1:7" ht="15.75" thickBot="1">
      <c r="A184" s="79"/>
      <c r="B184" s="74" t="s">
        <v>100</v>
      </c>
      <c r="C184" s="75"/>
      <c r="D184" s="76"/>
      <c r="E184" s="103"/>
      <c r="F184" s="75" t="s">
        <v>41</v>
      </c>
      <c r="G184" s="75">
        <f>SUM(G78:G183)</f>
        <v>0</v>
      </c>
    </row>
    <row r="185" spans="1:7" ht="15.75" thickTop="1">
      <c r="E185" s="104"/>
    </row>
    <row r="186" spans="1:7">
      <c r="A186" s="5" t="s">
        <v>105</v>
      </c>
      <c r="B186" s="6" t="s">
        <v>106</v>
      </c>
      <c r="E186" s="104"/>
    </row>
    <row r="187" spans="1:7">
      <c r="E187" s="104"/>
    </row>
    <row r="188" spans="1:7" ht="105">
      <c r="A188" s="3" t="s">
        <v>19</v>
      </c>
      <c r="B188" s="22" t="s">
        <v>107</v>
      </c>
      <c r="E188" s="104"/>
    </row>
    <row r="189" spans="1:7">
      <c r="E189" s="104"/>
    </row>
    <row r="190" spans="1:7">
      <c r="B190" s="2" t="s">
        <v>63</v>
      </c>
      <c r="C190" s="1">
        <v>1</v>
      </c>
      <c r="E190" s="101">
        <v>0</v>
      </c>
      <c r="G190" s="69">
        <f>C190*E190</f>
        <v>0</v>
      </c>
    </row>
    <row r="191" spans="1:7">
      <c r="E191" s="104"/>
    </row>
    <row r="192" spans="1:7" ht="15.75" thickBot="1">
      <c r="A192" s="79"/>
      <c r="B192" s="74" t="s">
        <v>108</v>
      </c>
      <c r="C192" s="75"/>
      <c r="D192" s="76"/>
      <c r="E192" s="103"/>
      <c r="F192" s="75" t="s">
        <v>41</v>
      </c>
      <c r="G192" s="75">
        <f>SUM(G186:G191)</f>
        <v>0</v>
      </c>
    </row>
    <row r="193" spans="1:7" ht="15.75" thickTop="1">
      <c r="E193" s="104"/>
    </row>
    <row r="194" spans="1:7">
      <c r="A194" s="5" t="s">
        <v>109</v>
      </c>
      <c r="B194" s="6" t="s">
        <v>110</v>
      </c>
      <c r="E194" s="104"/>
    </row>
    <row r="195" spans="1:7">
      <c r="A195" s="5"/>
      <c r="B195" s="6"/>
      <c r="E195" s="104"/>
    </row>
    <row r="196" spans="1:7" ht="105">
      <c r="A196" s="23" t="s">
        <v>111</v>
      </c>
      <c r="B196" s="24" t="s">
        <v>112</v>
      </c>
      <c r="E196" s="104"/>
    </row>
    <row r="197" spans="1:7">
      <c r="A197" s="5"/>
      <c r="B197" s="6"/>
      <c r="E197" s="104"/>
    </row>
    <row r="198" spans="1:7" ht="60">
      <c r="A198" s="3" t="s">
        <v>19</v>
      </c>
      <c r="B198" s="2" t="s">
        <v>113</v>
      </c>
      <c r="E198" s="104"/>
    </row>
    <row r="199" spans="1:7">
      <c r="E199" s="104"/>
    </row>
    <row r="200" spans="1:7">
      <c r="A200" s="3" t="s">
        <v>114</v>
      </c>
      <c r="B200" s="2" t="s">
        <v>118</v>
      </c>
      <c r="C200" s="1">
        <f>C166+C170</f>
        <v>142.995</v>
      </c>
      <c r="E200" s="101">
        <v>0</v>
      </c>
      <c r="G200" s="69">
        <f>C200*E200</f>
        <v>0</v>
      </c>
    </row>
    <row r="201" spans="1:7">
      <c r="E201" s="104"/>
    </row>
    <row r="202" spans="1:7" ht="60">
      <c r="A202" s="3" t="s">
        <v>46</v>
      </c>
      <c r="B202" s="2" t="s">
        <v>132</v>
      </c>
      <c r="E202" s="104"/>
    </row>
    <row r="203" spans="1:7">
      <c r="E203" s="104"/>
    </row>
    <row r="204" spans="1:7">
      <c r="B204" s="2" t="s">
        <v>56</v>
      </c>
      <c r="C204" s="1">
        <f>1*20</f>
        <v>20</v>
      </c>
      <c r="E204" s="101">
        <v>0</v>
      </c>
      <c r="G204" s="69">
        <f t="shared" ref="G204:G220" si="2">C204*E204</f>
        <v>0</v>
      </c>
    </row>
    <row r="205" spans="1:7">
      <c r="E205" s="104"/>
    </row>
    <row r="206" spans="1:7">
      <c r="A206" s="3" t="s">
        <v>50</v>
      </c>
      <c r="B206" s="2" t="s">
        <v>117</v>
      </c>
      <c r="E206" s="104"/>
    </row>
    <row r="207" spans="1:7">
      <c r="E207" s="104"/>
    </row>
    <row r="208" spans="1:7">
      <c r="A208" s="3" t="s">
        <v>114</v>
      </c>
      <c r="B208" s="2" t="s">
        <v>118</v>
      </c>
      <c r="C208" s="1">
        <f>C200</f>
        <v>142.995</v>
      </c>
      <c r="E208" s="101">
        <v>0</v>
      </c>
      <c r="G208" s="69">
        <f t="shared" si="2"/>
        <v>0</v>
      </c>
    </row>
    <row r="209" spans="1:7">
      <c r="E209" s="104"/>
    </row>
    <row r="210" spans="1:7" ht="45">
      <c r="A210" s="3" t="s">
        <v>54</v>
      </c>
      <c r="B210" s="2" t="s">
        <v>200</v>
      </c>
      <c r="E210" s="104"/>
    </row>
    <row r="211" spans="1:7">
      <c r="E211" s="104"/>
    </row>
    <row r="212" spans="1:7">
      <c r="B212" s="2" t="s">
        <v>56</v>
      </c>
      <c r="C212" s="1">
        <f>C158</f>
        <v>13.995000000000001</v>
      </c>
      <c r="E212" s="101">
        <v>0</v>
      </c>
      <c r="G212" s="69">
        <f>C212*E212</f>
        <v>0</v>
      </c>
    </row>
    <row r="213" spans="1:7">
      <c r="E213" s="104"/>
    </row>
    <row r="214" spans="1:7">
      <c r="A214" s="3" t="s">
        <v>57</v>
      </c>
      <c r="B214" s="2" t="s">
        <v>183</v>
      </c>
      <c r="E214" s="104"/>
    </row>
    <row r="215" spans="1:7">
      <c r="E215" s="104"/>
    </row>
    <row r="216" spans="1:7">
      <c r="B216" s="2" t="s">
        <v>59</v>
      </c>
      <c r="C216" s="1">
        <v>1</v>
      </c>
      <c r="E216" s="101">
        <v>0</v>
      </c>
      <c r="G216" s="69">
        <f t="shared" si="2"/>
        <v>0</v>
      </c>
    </row>
    <row r="217" spans="1:7">
      <c r="E217" s="104"/>
    </row>
    <row r="218" spans="1:7" ht="60">
      <c r="A218" s="3" t="s">
        <v>58</v>
      </c>
      <c r="B218" s="2" t="s">
        <v>123</v>
      </c>
      <c r="E218" s="104"/>
    </row>
    <row r="219" spans="1:7">
      <c r="E219" s="104"/>
    </row>
    <row r="220" spans="1:7">
      <c r="B220" s="2" t="s">
        <v>56</v>
      </c>
      <c r="C220" s="1">
        <f>C166</f>
        <v>85.000000000000014</v>
      </c>
      <c r="E220" s="101">
        <v>0</v>
      </c>
      <c r="G220" s="69">
        <f t="shared" si="2"/>
        <v>0</v>
      </c>
    </row>
    <row r="221" spans="1:7">
      <c r="E221" s="104"/>
    </row>
    <row r="222" spans="1:7" ht="15.75" thickBot="1">
      <c r="A222" s="79"/>
      <c r="B222" s="74" t="s">
        <v>124</v>
      </c>
      <c r="C222" s="75"/>
      <c r="D222" s="76"/>
      <c r="E222" s="103"/>
      <c r="F222" s="75" t="s">
        <v>41</v>
      </c>
      <c r="G222" s="75">
        <f>SUM(G194:G221)</f>
        <v>0</v>
      </c>
    </row>
    <row r="223" spans="1:7" ht="15.75" thickTop="1">
      <c r="E223" s="104"/>
    </row>
    <row r="224" spans="1:7">
      <c r="A224" s="5" t="s">
        <v>125</v>
      </c>
      <c r="B224" s="6" t="s">
        <v>126</v>
      </c>
      <c r="C224" s="25"/>
      <c r="D224" s="30"/>
      <c r="E224" s="105"/>
      <c r="F224" s="25"/>
      <c r="G224" s="25"/>
    </row>
    <row r="225" spans="1:7">
      <c r="E225" s="104"/>
    </row>
    <row r="226" spans="1:7" ht="45">
      <c r="A226" s="3" t="s">
        <v>19</v>
      </c>
      <c r="B226" s="2" t="s">
        <v>127</v>
      </c>
      <c r="E226" s="104"/>
    </row>
    <row r="227" spans="1:7">
      <c r="E227" s="104"/>
    </row>
    <row r="228" spans="1:7">
      <c r="B228" s="2" t="s">
        <v>59</v>
      </c>
      <c r="C228" s="1">
        <v>1</v>
      </c>
      <c r="E228" s="104">
        <v>0</v>
      </c>
      <c r="G228" s="1">
        <f>C228*E228</f>
        <v>0</v>
      </c>
    </row>
    <row r="229" spans="1:7">
      <c r="E229" s="104"/>
    </row>
    <row r="230" spans="1:7" ht="60">
      <c r="A230" s="3" t="s">
        <v>46</v>
      </c>
      <c r="B230" s="2" t="s">
        <v>128</v>
      </c>
      <c r="E230" s="104"/>
    </row>
    <row r="231" spans="1:7">
      <c r="E231" s="104"/>
    </row>
    <row r="232" spans="1:7">
      <c r="B232" s="2" t="s">
        <v>59</v>
      </c>
      <c r="C232" s="1">
        <v>4</v>
      </c>
      <c r="E232" s="104">
        <v>0</v>
      </c>
      <c r="G232" s="1">
        <f>C232*E232</f>
        <v>0</v>
      </c>
    </row>
    <row r="233" spans="1:7">
      <c r="E233" s="104"/>
    </row>
    <row r="234" spans="1:7" ht="15.75" thickBot="1">
      <c r="A234" s="79"/>
      <c r="B234" s="74" t="s">
        <v>129</v>
      </c>
      <c r="C234" s="75"/>
      <c r="D234" s="76"/>
      <c r="E234" s="103"/>
      <c r="F234" s="75" t="s">
        <v>41</v>
      </c>
      <c r="G234" s="75">
        <f>SUM(G224:G233)</f>
        <v>0</v>
      </c>
    </row>
    <row r="235" spans="1:7" ht="15.75" thickTop="1">
      <c r="E235" s="104"/>
    </row>
    <row r="236" spans="1:7">
      <c r="A236" s="5" t="s">
        <v>134</v>
      </c>
      <c r="B236" s="6" t="s">
        <v>135</v>
      </c>
      <c r="E236" s="104"/>
    </row>
    <row r="237" spans="1:7">
      <c r="E237" s="104"/>
    </row>
    <row r="238" spans="1:7" ht="60">
      <c r="A238" s="3" t="s">
        <v>111</v>
      </c>
      <c r="B238" s="2" t="s">
        <v>139</v>
      </c>
      <c r="E238" s="104"/>
    </row>
    <row r="239" spans="1:7">
      <c r="E239" s="104"/>
    </row>
    <row r="240" spans="1:7" ht="105">
      <c r="B240" s="2" t="s">
        <v>141</v>
      </c>
      <c r="E240" s="104"/>
    </row>
    <row r="241" spans="1:7">
      <c r="E241" s="104"/>
    </row>
    <row r="242" spans="1:7" ht="45">
      <c r="A242" s="3" t="s">
        <v>19</v>
      </c>
      <c r="B242" s="2" t="s">
        <v>142</v>
      </c>
      <c r="E242" s="104"/>
    </row>
    <row r="243" spans="1:7">
      <c r="E243" s="104"/>
    </row>
    <row r="244" spans="1:7">
      <c r="A244" s="3" t="s">
        <v>114</v>
      </c>
      <c r="B244" s="2" t="s">
        <v>253</v>
      </c>
      <c r="C244" s="1">
        <v>16</v>
      </c>
      <c r="E244" s="101">
        <v>0</v>
      </c>
      <c r="G244" s="69">
        <f t="shared" ref="G244:G252" si="3">C244*E244</f>
        <v>0</v>
      </c>
    </row>
    <row r="245" spans="1:7">
      <c r="E245" s="104"/>
    </row>
    <row r="246" spans="1:7" ht="45">
      <c r="A246" s="3" t="s">
        <v>46</v>
      </c>
      <c r="B246" s="2" t="s">
        <v>192</v>
      </c>
      <c r="E246" s="104"/>
    </row>
    <row r="247" spans="1:7">
      <c r="E247" s="104"/>
    </row>
    <row r="248" spans="1:7">
      <c r="B248" s="2" t="s">
        <v>59</v>
      </c>
      <c r="C248" s="1">
        <v>10</v>
      </c>
      <c r="E248" s="101">
        <v>0</v>
      </c>
      <c r="G248" s="69">
        <f>C248*E248</f>
        <v>0</v>
      </c>
    </row>
    <row r="249" spans="1:7">
      <c r="E249" s="104"/>
    </row>
    <row r="250" spans="1:7" ht="195" customHeight="1">
      <c r="A250" s="3" t="s">
        <v>50</v>
      </c>
      <c r="B250" s="2" t="s">
        <v>184</v>
      </c>
      <c r="E250" s="104"/>
    </row>
    <row r="251" spans="1:7">
      <c r="E251" s="104"/>
    </row>
    <row r="252" spans="1:7">
      <c r="A252" s="3" t="s">
        <v>114</v>
      </c>
      <c r="B252" s="2" t="s">
        <v>254</v>
      </c>
      <c r="C252" s="1">
        <v>16</v>
      </c>
      <c r="E252" s="101">
        <v>0</v>
      </c>
      <c r="G252" s="69">
        <f t="shared" si="3"/>
        <v>0</v>
      </c>
    </row>
    <row r="253" spans="1:7">
      <c r="E253" s="104"/>
    </row>
    <row r="254" spans="1:7" ht="15.75" thickBot="1">
      <c r="A254" s="79"/>
      <c r="B254" s="81" t="s">
        <v>153</v>
      </c>
      <c r="C254" s="82"/>
      <c r="D254" s="83"/>
      <c r="E254" s="109"/>
      <c r="F254" s="75" t="s">
        <v>41</v>
      </c>
      <c r="G254" s="85">
        <f>SUM(G236:G253)</f>
        <v>0</v>
      </c>
    </row>
    <row r="255" spans="1:7" ht="15.75" thickTop="1">
      <c r="B255" s="20"/>
      <c r="C255" s="31"/>
      <c r="D255" s="26"/>
      <c r="E255" s="106"/>
      <c r="F255" s="33"/>
      <c r="G255" s="32"/>
    </row>
    <row r="256" spans="1:7">
      <c r="A256" s="5" t="s">
        <v>136</v>
      </c>
      <c r="B256" s="6" t="s">
        <v>137</v>
      </c>
      <c r="E256" s="104"/>
      <c r="F256" s="34"/>
    </row>
    <row r="257" spans="1:7">
      <c r="E257" s="104"/>
      <c r="F257" s="34"/>
    </row>
    <row r="258" spans="1:7" ht="135">
      <c r="A258" s="3" t="s">
        <v>111</v>
      </c>
      <c r="B258" s="2" t="s">
        <v>140</v>
      </c>
      <c r="E258" s="104"/>
      <c r="F258" s="34"/>
    </row>
    <row r="259" spans="1:7">
      <c r="E259" s="104"/>
      <c r="F259" s="34"/>
    </row>
    <row r="260" spans="1:7" ht="90">
      <c r="A260" s="3" t="s">
        <v>19</v>
      </c>
      <c r="B260" s="17" t="s">
        <v>156</v>
      </c>
      <c r="E260" s="104"/>
      <c r="F260" s="34"/>
    </row>
    <row r="261" spans="1:7">
      <c r="B261" s="21"/>
      <c r="E261" s="104"/>
      <c r="F261" s="34"/>
    </row>
    <row r="262" spans="1:7">
      <c r="B262" s="2" t="s">
        <v>45</v>
      </c>
      <c r="C262" s="1">
        <f>C122</f>
        <v>267</v>
      </c>
      <c r="E262" s="101">
        <v>0</v>
      </c>
      <c r="F262" s="34"/>
      <c r="G262" s="69">
        <f>C262*E262</f>
        <v>0</v>
      </c>
    </row>
    <row r="263" spans="1:7">
      <c r="E263" s="104"/>
      <c r="F263" s="34"/>
    </row>
    <row r="264" spans="1:7" ht="105">
      <c r="A264" s="3" t="s">
        <v>154</v>
      </c>
      <c r="B264" s="17" t="s">
        <v>155</v>
      </c>
      <c r="E264" s="104"/>
      <c r="F264" s="34"/>
    </row>
    <row r="265" spans="1:7">
      <c r="E265" s="104"/>
      <c r="F265" s="34"/>
    </row>
    <row r="266" spans="1:7">
      <c r="B266" s="2" t="s">
        <v>45</v>
      </c>
      <c r="C266" s="1">
        <f>C262</f>
        <v>267</v>
      </c>
      <c r="E266" s="101">
        <v>0</v>
      </c>
      <c r="F266" s="34"/>
      <c r="G266" s="69">
        <f>C266*E266</f>
        <v>0</v>
      </c>
    </row>
    <row r="267" spans="1:7">
      <c r="E267" s="104"/>
      <c r="F267" s="34"/>
    </row>
    <row r="268" spans="1:7" ht="255">
      <c r="A268" s="3" t="s">
        <v>50</v>
      </c>
      <c r="B268" s="17" t="s">
        <v>173</v>
      </c>
      <c r="E268" s="104"/>
      <c r="F268" s="34"/>
    </row>
    <row r="269" spans="1:7">
      <c r="B269" s="17"/>
      <c r="E269" s="104"/>
      <c r="F269" s="34"/>
    </row>
    <row r="270" spans="1:7">
      <c r="A270" s="3" t="s">
        <v>114</v>
      </c>
      <c r="B270" s="17" t="s">
        <v>255</v>
      </c>
      <c r="C270" s="1">
        <v>4</v>
      </c>
      <c r="E270" s="101">
        <v>0</v>
      </c>
      <c r="F270" s="34"/>
      <c r="G270" s="69">
        <f>C270*E270</f>
        <v>0</v>
      </c>
    </row>
    <row r="271" spans="1:7">
      <c r="B271" s="17"/>
      <c r="E271" s="104"/>
      <c r="F271" s="34"/>
    </row>
    <row r="272" spans="1:7" ht="45">
      <c r="A272" s="3" t="s">
        <v>52</v>
      </c>
      <c r="B272" s="17" t="s">
        <v>158</v>
      </c>
      <c r="E272" s="104"/>
      <c r="F272" s="34"/>
    </row>
    <row r="273" spans="1:7">
      <c r="B273" s="17"/>
      <c r="E273" s="104"/>
      <c r="F273" s="34"/>
    </row>
    <row r="274" spans="1:7">
      <c r="B274" s="17" t="s">
        <v>45</v>
      </c>
      <c r="C274" s="1">
        <v>1</v>
      </c>
      <c r="E274" s="101">
        <v>0</v>
      </c>
      <c r="F274" s="34"/>
      <c r="G274" s="69">
        <f>C274*E274</f>
        <v>0</v>
      </c>
    </row>
    <row r="275" spans="1:7">
      <c r="B275" s="17"/>
      <c r="E275" s="104"/>
      <c r="F275" s="34"/>
    </row>
    <row r="276" spans="1:7" ht="15.75" thickBot="1">
      <c r="A276" s="79"/>
      <c r="B276" s="74" t="s">
        <v>160</v>
      </c>
      <c r="C276" s="75"/>
      <c r="D276" s="76"/>
      <c r="E276" s="103"/>
      <c r="F276" s="86" t="s">
        <v>41</v>
      </c>
      <c r="G276" s="75">
        <f>SUM(G256:G275)</f>
        <v>0</v>
      </c>
    </row>
    <row r="277" spans="1:7" ht="15.75" thickTop="1">
      <c r="F277" s="34"/>
    </row>
    <row r="278" spans="1:7">
      <c r="A278" s="5" t="s">
        <v>161</v>
      </c>
      <c r="B278" s="6" t="s">
        <v>162</v>
      </c>
    </row>
    <row r="280" spans="1:7" ht="105" customHeight="1">
      <c r="A280" s="3">
        <v>1</v>
      </c>
      <c r="B280" s="2" t="s">
        <v>163</v>
      </c>
      <c r="G280" s="71">
        <f>(G76+G184+G192+G222+G234+G254+G276)*0.1</f>
        <v>0</v>
      </c>
    </row>
    <row r="281" spans="1:7" ht="16.5" customHeight="1">
      <c r="G281" s="41"/>
    </row>
    <row r="282" spans="1:7" ht="15.75" thickBot="1">
      <c r="A282" s="79"/>
      <c r="B282" s="74" t="s">
        <v>164</v>
      </c>
      <c r="C282" s="75"/>
      <c r="D282" s="76"/>
      <c r="E282" s="75"/>
      <c r="F282" s="75" t="s">
        <v>41</v>
      </c>
      <c r="G282" s="75">
        <f>SUM(G278:G281)</f>
        <v>0</v>
      </c>
    </row>
    <row r="283" spans="1:7" ht="15.75" thickTop="1">
      <c r="A283" s="42"/>
      <c r="B283" s="43"/>
      <c r="C283" s="44"/>
      <c r="D283" s="45"/>
      <c r="E283" s="44"/>
      <c r="F283" s="44"/>
      <c r="G283" s="44"/>
    </row>
    <row r="285" spans="1:7">
      <c r="A285" s="95"/>
      <c r="B285" s="96" t="s">
        <v>165</v>
      </c>
    </row>
    <row r="287" spans="1:7">
      <c r="A287" s="3" t="s">
        <v>17</v>
      </c>
      <c r="B287" s="2" t="s">
        <v>18</v>
      </c>
      <c r="G287" s="69">
        <f>G76</f>
        <v>0</v>
      </c>
    </row>
    <row r="289" spans="1:7">
      <c r="A289" s="3" t="s">
        <v>42</v>
      </c>
      <c r="B289" s="2" t="s">
        <v>43</v>
      </c>
      <c r="G289" s="69">
        <f>G184</f>
        <v>0</v>
      </c>
    </row>
    <row r="291" spans="1:7">
      <c r="A291" s="3" t="s">
        <v>105</v>
      </c>
      <c r="B291" s="2" t="s">
        <v>106</v>
      </c>
      <c r="G291" s="69">
        <f>G192</f>
        <v>0</v>
      </c>
    </row>
    <row r="293" spans="1:7">
      <c r="A293" s="3" t="s">
        <v>109</v>
      </c>
      <c r="B293" s="2" t="s">
        <v>110</v>
      </c>
      <c r="G293" s="69">
        <f>G222</f>
        <v>0</v>
      </c>
    </row>
    <row r="295" spans="1:7">
      <c r="A295" s="3" t="s">
        <v>125</v>
      </c>
      <c r="B295" s="2" t="s">
        <v>126</v>
      </c>
      <c r="G295" s="69">
        <f>G234</f>
        <v>0</v>
      </c>
    </row>
    <row r="297" spans="1:7">
      <c r="A297" s="3" t="s">
        <v>134</v>
      </c>
      <c r="B297" s="2" t="s">
        <v>135</v>
      </c>
      <c r="G297" s="69">
        <f>G254</f>
        <v>0</v>
      </c>
    </row>
    <row r="299" spans="1:7">
      <c r="A299" s="3" t="s">
        <v>136</v>
      </c>
      <c r="B299" s="2" t="s">
        <v>166</v>
      </c>
      <c r="G299" s="69">
        <f>G276</f>
        <v>0</v>
      </c>
    </row>
    <row r="301" spans="1:7">
      <c r="A301" s="3" t="s">
        <v>161</v>
      </c>
      <c r="B301" s="77" t="s">
        <v>167</v>
      </c>
      <c r="C301" s="72"/>
      <c r="D301" s="78"/>
      <c r="E301" s="72"/>
      <c r="F301" s="72"/>
      <c r="G301" s="72">
        <f>G282</f>
        <v>0</v>
      </c>
    </row>
    <row r="302" spans="1:7">
      <c r="A302" s="60"/>
      <c r="B302" s="77"/>
      <c r="C302" s="72"/>
      <c r="D302" s="78"/>
      <c r="E302" s="72"/>
      <c r="F302" s="72"/>
      <c r="G302" s="72"/>
    </row>
    <row r="303" spans="1:7" ht="15.75" thickBot="1">
      <c r="A303" s="90"/>
      <c r="B303" s="91" t="s">
        <v>168</v>
      </c>
      <c r="C303" s="92"/>
      <c r="D303" s="93"/>
      <c r="E303" s="92"/>
      <c r="F303" s="92"/>
      <c r="G303" s="94">
        <f>SUM(G285:G302)</f>
        <v>0</v>
      </c>
    </row>
    <row r="304" spans="1:7" ht="15.75" thickTop="1"/>
  </sheetData>
  <sheetProtection algorithmName="SHA-512" hashValue="zAQI8AsB6JiK4xxgoX7qJNiiOdgSWoHmuN312xovQh1tZ1sIg8xJuWkJt9odh1Bz0mDnVxIZLhHRBufwl0/qyw==" saltValue="phjF+xUwTQRmh8NikDcfjw==" spinCount="100000" sheet="1" objects="1" scenarios="1" selectLockedCells="1"/>
  <mergeCells count="1">
    <mergeCell ref="A2:G2"/>
  </mergeCells>
  <pageMargins left="0.9055118110236221" right="0.51181102362204722" top="0.6692913385826772" bottom="0.55118110236220474" header="0.31496062992125984" footer="0.31496062992125984"/>
  <pageSetup paperSize="9" scale="9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Delovni listi</vt:lpstr>
      </vt:variant>
      <vt:variant>
        <vt:i4>19</vt:i4>
      </vt:variant>
      <vt:variant>
        <vt:lpstr>Imenovani obsegi</vt:lpstr>
      </vt:variant>
      <vt:variant>
        <vt:i4>18</vt:i4>
      </vt:variant>
    </vt:vector>
  </HeadingPairs>
  <TitlesOfParts>
    <vt:vector size="37" baseType="lpstr">
      <vt:lpstr>REKAPITULACIJA SKUPNA</vt:lpstr>
      <vt:lpstr>REKAPITULACIJA I FAZA</vt:lpstr>
      <vt:lpstr>Poljanski nasip 12-ulična</vt:lpstr>
      <vt:lpstr>Poljanski nasip 14-ulična</vt:lpstr>
      <vt:lpstr>Gestrinova 5,7,8-ulična </vt:lpstr>
      <vt:lpstr>REKAPITULACIJA II FAZA</vt:lpstr>
      <vt:lpstr>Gestrinova 5,7,8-atrijska stran</vt:lpstr>
      <vt:lpstr>Gestrinova 2,4,6-atrijska stran</vt:lpstr>
      <vt:lpstr>Gestrinova 3-atrijska stran</vt:lpstr>
      <vt:lpstr>Poljanska cesta 15-atrij.stran</vt:lpstr>
      <vt:lpstr>Garaže</vt:lpstr>
      <vt:lpstr>Pasaže A,B,C,D in E</vt:lpstr>
      <vt:lpstr>REKAPITULACIJA III FAZA</vt:lpstr>
      <vt:lpstr>Poljanski nasip 12-dvoriščna</vt:lpstr>
      <vt:lpstr>Poljanski nasip 14-dvoriščna </vt:lpstr>
      <vt:lpstr>Gestrinova 2,4,6,8-dvoriščna </vt:lpstr>
      <vt:lpstr>Gestrinova 3-dvoriščna stran</vt:lpstr>
      <vt:lpstr>Poljanska cesta 15-ulična stran</vt:lpstr>
      <vt:lpstr>List1</vt:lpstr>
      <vt:lpstr>Garaže!Področje_tiskanja</vt:lpstr>
      <vt:lpstr>'Gestrinova 2,4,6,8-dvoriščna '!Področje_tiskanja</vt:lpstr>
      <vt:lpstr>'Gestrinova 2,4,6-atrijska stran'!Področje_tiskanja</vt:lpstr>
      <vt:lpstr>'Gestrinova 3-atrijska stran'!Področje_tiskanja</vt:lpstr>
      <vt:lpstr>'Gestrinova 3-dvoriščna stran'!Področje_tiskanja</vt:lpstr>
      <vt:lpstr>'Gestrinova 5,7,8-atrijska stran'!Področje_tiskanja</vt:lpstr>
      <vt:lpstr>'Gestrinova 5,7,8-ulična '!Področje_tiskanja</vt:lpstr>
      <vt:lpstr>'Pasaže A,B,C,D in E'!Področje_tiskanja</vt:lpstr>
      <vt:lpstr>'Poljanska cesta 15-atrij.stran'!Področje_tiskanja</vt:lpstr>
      <vt:lpstr>'Poljanska cesta 15-ulična stran'!Področje_tiskanja</vt:lpstr>
      <vt:lpstr>'Poljanski nasip 12-dvoriščna'!Področje_tiskanja</vt:lpstr>
      <vt:lpstr>'Poljanski nasip 12-ulična'!Področje_tiskanja</vt:lpstr>
      <vt:lpstr>'Poljanski nasip 14-dvoriščna '!Področje_tiskanja</vt:lpstr>
      <vt:lpstr>'Poljanski nasip 14-ulična'!Področje_tiskanja</vt:lpstr>
      <vt:lpstr>'REKAPITULACIJA I FAZA'!Področje_tiskanja</vt:lpstr>
      <vt:lpstr>'REKAPITULACIJA II FAZA'!Področje_tiskanja</vt:lpstr>
      <vt:lpstr>'REKAPITULACIJA III FAZA'!Področje_tiskanja</vt:lpstr>
      <vt:lpstr>'REKAPITULACIJA SKUPNA'!Področje_tiskanja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DUŠAN</dc:creator>
  <cp:lastModifiedBy>Roman</cp:lastModifiedBy>
  <cp:lastPrinted>2022-05-06T10:07:26Z</cp:lastPrinted>
  <dcterms:created xsi:type="dcterms:W3CDTF">2021-01-02T10:43:49Z</dcterms:created>
  <dcterms:modified xsi:type="dcterms:W3CDTF">2022-05-06T10:32:41Z</dcterms:modified>
</cp:coreProperties>
</file>