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bic\Downloads\"/>
    </mc:Choice>
  </mc:AlternateContent>
  <bookViews>
    <workbookView xWindow="0" yWindow="0" windowWidth="28800" windowHeight="120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J77" i="1" s="1"/>
  <c r="F78" i="1" s="1"/>
  <c r="G77" i="1"/>
  <c r="H77" i="1" s="1"/>
  <c r="E77" i="1"/>
  <c r="F77" i="1" s="1"/>
  <c r="C77" i="1"/>
  <c r="D77" i="1" s="1"/>
  <c r="G73" i="1"/>
  <c r="H73" i="1" s="1"/>
  <c r="E73" i="1"/>
  <c r="F73" i="1" s="1"/>
  <c r="C73" i="1"/>
  <c r="D73" i="1" s="1"/>
  <c r="AQ63" i="1"/>
  <c r="AF63" i="1"/>
  <c r="S63" i="1"/>
  <c r="I63" i="1"/>
  <c r="D63" i="1"/>
  <c r="AQ62" i="1"/>
  <c r="AF62" i="1"/>
  <c r="S62" i="1"/>
  <c r="I62" i="1"/>
  <c r="F62" i="1"/>
  <c r="D62" i="1"/>
  <c r="AQ61" i="1"/>
  <c r="AF61" i="1"/>
  <c r="S61" i="1"/>
  <c r="I61" i="1"/>
  <c r="D61" i="1"/>
  <c r="AQ60" i="1"/>
  <c r="AF60" i="1"/>
  <c r="S60" i="1"/>
  <c r="I60" i="1"/>
  <c r="H60" i="1"/>
  <c r="J60" i="1" s="1"/>
  <c r="D60" i="1"/>
  <c r="AQ59" i="1"/>
  <c r="AF59" i="1"/>
  <c r="S59" i="1"/>
  <c r="T59" i="1" s="1"/>
  <c r="M59" i="1"/>
  <c r="I59" i="1"/>
  <c r="J59" i="1" s="1"/>
  <c r="G59" i="1"/>
  <c r="D59" i="1"/>
  <c r="F59" i="1" s="1"/>
  <c r="AQ58" i="1"/>
  <c r="AF58" i="1"/>
  <c r="T58" i="1"/>
  <c r="S58" i="1"/>
  <c r="I58" i="1"/>
  <c r="J58" i="1" s="1"/>
  <c r="H58" i="1"/>
  <c r="F58" i="1"/>
  <c r="G58" i="1" s="1"/>
  <c r="D58" i="1"/>
  <c r="AQ57" i="1"/>
  <c r="AF57" i="1"/>
  <c r="S57" i="1"/>
  <c r="I57" i="1"/>
  <c r="D57" i="1"/>
  <c r="AQ56" i="1"/>
  <c r="AF56" i="1"/>
  <c r="S56" i="1"/>
  <c r="I56" i="1"/>
  <c r="F56" i="1"/>
  <c r="D56" i="1"/>
  <c r="S55" i="1"/>
  <c r="S64" i="1" s="1"/>
  <c r="H54" i="1"/>
  <c r="H59" i="1" s="1"/>
  <c r="AQ47" i="1"/>
  <c r="AF47" i="1"/>
  <c r="S47" i="1"/>
  <c r="I47" i="1"/>
  <c r="D47" i="1"/>
  <c r="AQ46" i="1"/>
  <c r="AF46" i="1"/>
  <c r="S46" i="1"/>
  <c r="I46" i="1"/>
  <c r="D46" i="1"/>
  <c r="AQ45" i="1"/>
  <c r="AF45" i="1"/>
  <c r="S45" i="1"/>
  <c r="I45" i="1"/>
  <c r="G45" i="1"/>
  <c r="T45" i="1" s="1"/>
  <c r="F45" i="1"/>
  <c r="D45" i="1"/>
  <c r="AQ44" i="1"/>
  <c r="AF44" i="1"/>
  <c r="S44" i="1"/>
  <c r="I44" i="1"/>
  <c r="D44" i="1"/>
  <c r="AQ43" i="1"/>
  <c r="AF43" i="1"/>
  <c r="S43" i="1"/>
  <c r="I43" i="1"/>
  <c r="D43" i="1"/>
  <c r="AQ42" i="1"/>
  <c r="AF42" i="1"/>
  <c r="S42" i="1"/>
  <c r="I42" i="1"/>
  <c r="D42" i="1"/>
  <c r="F42" i="1" s="1"/>
  <c r="G42" i="1" s="1"/>
  <c r="AQ41" i="1"/>
  <c r="AF41" i="1"/>
  <c r="S41" i="1"/>
  <c r="I41" i="1"/>
  <c r="D41" i="1"/>
  <c r="AQ40" i="1"/>
  <c r="AQ48" i="1" s="1"/>
  <c r="AF40" i="1"/>
  <c r="S40" i="1"/>
  <c r="I40" i="1"/>
  <c r="G40" i="1"/>
  <c r="AM40" i="1" s="1"/>
  <c r="D40" i="1"/>
  <c r="F40" i="1" s="1"/>
  <c r="S39" i="1"/>
  <c r="S48" i="1" s="1"/>
  <c r="H38" i="1"/>
  <c r="AQ31" i="1"/>
  <c r="AF31" i="1"/>
  <c r="S31" i="1"/>
  <c r="J31" i="1"/>
  <c r="I31" i="1"/>
  <c r="H31" i="1"/>
  <c r="D31" i="1"/>
  <c r="AQ30" i="1"/>
  <c r="AF30" i="1"/>
  <c r="S30" i="1"/>
  <c r="I30" i="1"/>
  <c r="G30" i="1"/>
  <c r="AM30" i="1" s="1"/>
  <c r="AN30" i="1" s="1"/>
  <c r="AR30" i="1" s="1"/>
  <c r="D30" i="1"/>
  <c r="F30" i="1" s="1"/>
  <c r="AQ29" i="1"/>
  <c r="AF29" i="1"/>
  <c r="U29" i="1"/>
  <c r="S29" i="1"/>
  <c r="I29" i="1"/>
  <c r="G29" i="1"/>
  <c r="T29" i="1" s="1"/>
  <c r="F29" i="1"/>
  <c r="D29" i="1"/>
  <c r="AQ28" i="1"/>
  <c r="AG28" i="1"/>
  <c r="AH28" i="1" s="1"/>
  <c r="AF28" i="1"/>
  <c r="S28" i="1"/>
  <c r="M28" i="1"/>
  <c r="O28" i="1" s="1"/>
  <c r="P28" i="1" s="1"/>
  <c r="I28" i="1"/>
  <c r="J28" i="1" s="1"/>
  <c r="H28" i="1"/>
  <c r="K28" i="1" s="1"/>
  <c r="G28" i="1"/>
  <c r="T28" i="1" s="1"/>
  <c r="F28" i="1"/>
  <c r="D28" i="1"/>
  <c r="AQ27" i="1"/>
  <c r="AF27" i="1"/>
  <c r="S27" i="1"/>
  <c r="I27" i="1"/>
  <c r="D27" i="1"/>
  <c r="AQ26" i="1"/>
  <c r="AF26" i="1"/>
  <c r="S26" i="1"/>
  <c r="W26" i="1" s="1"/>
  <c r="J26" i="1"/>
  <c r="K26" i="1" s="1"/>
  <c r="I26" i="1"/>
  <c r="H26" i="1"/>
  <c r="M26" i="1" s="1"/>
  <c r="D26" i="1"/>
  <c r="AQ25" i="1"/>
  <c r="AM25" i="1"/>
  <c r="AF25" i="1"/>
  <c r="U25" i="1"/>
  <c r="S25" i="1"/>
  <c r="T25" i="1" s="1"/>
  <c r="I25" i="1"/>
  <c r="G25" i="1"/>
  <c r="D25" i="1"/>
  <c r="F25" i="1" s="1"/>
  <c r="AQ24" i="1"/>
  <c r="AQ32" i="1" s="1"/>
  <c r="AF24" i="1"/>
  <c r="T24" i="1"/>
  <c r="S24" i="1"/>
  <c r="I24" i="1"/>
  <c r="G24" i="1"/>
  <c r="AM24" i="1" s="1"/>
  <c r="F24" i="1"/>
  <c r="D24" i="1"/>
  <c r="S23" i="1"/>
  <c r="S32" i="1" s="1"/>
  <c r="M22" i="1"/>
  <c r="H22" i="1"/>
  <c r="AQ16" i="1"/>
  <c r="AQ15" i="1"/>
  <c r="AF15" i="1"/>
  <c r="I15" i="1"/>
  <c r="G15" i="1"/>
  <c r="AM15" i="1" s="1"/>
  <c r="AN15" i="1" s="1"/>
  <c r="AR15" i="1" s="1"/>
  <c r="F15" i="1"/>
  <c r="D15" i="1"/>
  <c r="AQ14" i="1"/>
  <c r="AF14" i="1"/>
  <c r="S14" i="1"/>
  <c r="I14" i="1"/>
  <c r="H14" i="1"/>
  <c r="M14" i="1" s="1"/>
  <c r="F14" i="1"/>
  <c r="G14" i="1" s="1"/>
  <c r="D14" i="1"/>
  <c r="AQ13" i="1"/>
  <c r="AF13" i="1"/>
  <c r="S13" i="1"/>
  <c r="I13" i="1"/>
  <c r="H13" i="1"/>
  <c r="M13" i="1" s="1"/>
  <c r="F13" i="1"/>
  <c r="G13" i="1" s="1"/>
  <c r="D13" i="1"/>
  <c r="AQ12" i="1"/>
  <c r="AG12" i="1"/>
  <c r="AF12" i="1"/>
  <c r="S12" i="1"/>
  <c r="P12" i="1"/>
  <c r="AO12" i="1" s="1"/>
  <c r="AP12" i="1" s="1"/>
  <c r="AS12" i="1" s="1"/>
  <c r="M12" i="1"/>
  <c r="O12" i="1" s="1"/>
  <c r="J12" i="1"/>
  <c r="I12" i="1"/>
  <c r="D12" i="1"/>
  <c r="F12" i="1" s="1"/>
  <c r="AQ11" i="1"/>
  <c r="AF11" i="1"/>
  <c r="S11" i="1"/>
  <c r="I11" i="1"/>
  <c r="H11" i="1"/>
  <c r="M11" i="1" s="1"/>
  <c r="O11" i="1" s="1"/>
  <c r="D11" i="1"/>
  <c r="AQ10" i="1"/>
  <c r="AF10" i="1"/>
  <c r="I10" i="1"/>
  <c r="D10" i="1"/>
  <c r="F10" i="1" s="1"/>
  <c r="AQ9" i="1"/>
  <c r="AF9" i="1"/>
  <c r="M9" i="1"/>
  <c r="J9" i="1"/>
  <c r="I9" i="1"/>
  <c r="H9" i="1"/>
  <c r="F9" i="1"/>
  <c r="G9" i="1" s="1"/>
  <c r="AM9" i="1" s="1"/>
  <c r="AN9" i="1" s="1"/>
  <c r="D9" i="1"/>
  <c r="AQ8" i="1"/>
  <c r="AF8" i="1"/>
  <c r="S8" i="1"/>
  <c r="I8" i="1"/>
  <c r="D8" i="1"/>
  <c r="S6" i="1"/>
  <c r="M6" i="1"/>
  <c r="H6" i="1"/>
  <c r="H12" i="1" s="1"/>
  <c r="K12" i="1" s="1"/>
  <c r="O14" i="1" l="1"/>
  <c r="P14" i="1" s="1"/>
  <c r="X28" i="1"/>
  <c r="Q28" i="1"/>
  <c r="AO28" i="1"/>
  <c r="AN31" i="1"/>
  <c r="AR31" i="1" s="1"/>
  <c r="J15" i="1"/>
  <c r="T42" i="1"/>
  <c r="AM42" i="1"/>
  <c r="P9" i="1"/>
  <c r="P13" i="1"/>
  <c r="O13" i="1"/>
  <c r="AN24" i="1"/>
  <c r="AR9" i="1"/>
  <c r="U14" i="1"/>
  <c r="W12" i="1"/>
  <c r="AJ12" i="1"/>
  <c r="AK12" i="1" s="1"/>
  <c r="AM13" i="1"/>
  <c r="AN13" i="1" s="1"/>
  <c r="AR13" i="1" s="1"/>
  <c r="U13" i="1"/>
  <c r="AJ26" i="1"/>
  <c r="AK26" i="1" s="1"/>
  <c r="V26" i="1"/>
  <c r="AK28" i="1"/>
  <c r="L28" i="1"/>
  <c r="W28" i="1"/>
  <c r="AJ28" i="1"/>
  <c r="AM14" i="1"/>
  <c r="AN14" i="1" s="1"/>
  <c r="AR14" i="1" s="1"/>
  <c r="T14" i="1"/>
  <c r="G10" i="1"/>
  <c r="AM10" i="1" s="1"/>
  <c r="AN10" i="1" s="1"/>
  <c r="AR10" i="1" s="1"/>
  <c r="H8" i="1"/>
  <c r="O9" i="1"/>
  <c r="H10" i="1"/>
  <c r="J10" i="1" s="1"/>
  <c r="AH11" i="1"/>
  <c r="AH12" i="1"/>
  <c r="AH13" i="1"/>
  <c r="J14" i="1"/>
  <c r="H15" i="1"/>
  <c r="U24" i="1"/>
  <c r="AN25" i="1"/>
  <c r="AR25" i="1" s="1"/>
  <c r="F26" i="1"/>
  <c r="G26" i="1" s="1"/>
  <c r="O26" i="1"/>
  <c r="P26" i="1" s="1"/>
  <c r="F27" i="1"/>
  <c r="U28" i="1"/>
  <c r="AM28" i="1"/>
  <c r="AM29" i="1"/>
  <c r="AN29" i="1" s="1"/>
  <c r="AR29" i="1" s="1"/>
  <c r="U30" i="1"/>
  <c r="AG11" i="1"/>
  <c r="X12" i="1"/>
  <c r="AG13" i="1"/>
  <c r="AG14" i="1"/>
  <c r="AH14" i="1" s="1"/>
  <c r="J8" i="1"/>
  <c r="J11" i="1"/>
  <c r="AG26" i="1"/>
  <c r="AH26" i="1" s="1"/>
  <c r="P11" i="1"/>
  <c r="G12" i="1"/>
  <c r="AG9" i="1"/>
  <c r="K9" i="1"/>
  <c r="AH9" i="1"/>
  <c r="V12" i="1"/>
  <c r="J13" i="1"/>
  <c r="K14" i="1"/>
  <c r="G27" i="1"/>
  <c r="G31" i="1"/>
  <c r="AM31" i="1" s="1"/>
  <c r="T40" i="1"/>
  <c r="S15" i="1"/>
  <c r="S9" i="1"/>
  <c r="S7" i="1"/>
  <c r="S10" i="1"/>
  <c r="K11" i="1"/>
  <c r="K13" i="1"/>
  <c r="W13" i="1" s="1"/>
  <c r="T13" i="1"/>
  <c r="H30" i="1"/>
  <c r="H29" i="1"/>
  <c r="H27" i="1"/>
  <c r="H24" i="1"/>
  <c r="J24" i="1" s="1"/>
  <c r="H25" i="1"/>
  <c r="J25" i="1" s="1"/>
  <c r="V28" i="1"/>
  <c r="AA28" i="1" s="1"/>
  <c r="AB28" i="1" s="1"/>
  <c r="AP28" i="1"/>
  <c r="AS28" i="1" s="1"/>
  <c r="J29" i="1"/>
  <c r="F31" i="1"/>
  <c r="U40" i="1"/>
  <c r="M31" i="1"/>
  <c r="AH31" i="1"/>
  <c r="K31" i="1"/>
  <c r="V31" i="1" s="1"/>
  <c r="AA31" i="1" s="1"/>
  <c r="AB31" i="1" s="1"/>
  <c r="U31" i="1"/>
  <c r="T31" i="1"/>
  <c r="H46" i="1"/>
  <c r="J46" i="1" s="1"/>
  <c r="H47" i="1"/>
  <c r="H42" i="1"/>
  <c r="H45" i="1"/>
  <c r="J45" i="1" s="1"/>
  <c r="H40" i="1"/>
  <c r="H44" i="1"/>
  <c r="H41" i="1"/>
  <c r="U42" i="1"/>
  <c r="F8" i="1"/>
  <c r="G8" i="1" s="1"/>
  <c r="F11" i="1"/>
  <c r="G11" i="1" s="1"/>
  <c r="AR24" i="1"/>
  <c r="T27" i="1"/>
  <c r="AG31" i="1"/>
  <c r="M38" i="1"/>
  <c r="H43" i="1"/>
  <c r="G47" i="1"/>
  <c r="AM47" i="1" s="1"/>
  <c r="AN47" i="1" s="1"/>
  <c r="AR47" i="1" s="1"/>
  <c r="AN28" i="1"/>
  <c r="AR28" i="1" s="1"/>
  <c r="T30" i="1"/>
  <c r="J44" i="1"/>
  <c r="F47" i="1"/>
  <c r="T47" i="1"/>
  <c r="G56" i="1"/>
  <c r="AM45" i="1"/>
  <c r="AN45" i="1" s="1"/>
  <c r="AR45" i="1" s="1"/>
  <c r="AM59" i="1"/>
  <c r="AN59" i="1" s="1"/>
  <c r="AR59" i="1" s="1"/>
  <c r="U59" i="1"/>
  <c r="G62" i="1"/>
  <c r="F46" i="1"/>
  <c r="G46" i="1" s="1"/>
  <c r="F57" i="1"/>
  <c r="G57" i="1"/>
  <c r="T57" i="1" s="1"/>
  <c r="F63" i="1"/>
  <c r="G63" i="1" s="1"/>
  <c r="AN42" i="1"/>
  <c r="AR42" i="1" s="1"/>
  <c r="F43" i="1"/>
  <c r="G43" i="1" s="1"/>
  <c r="F44" i="1"/>
  <c r="G44" i="1" s="1"/>
  <c r="U58" i="1"/>
  <c r="AM58" i="1"/>
  <c r="AN58" i="1" s="1"/>
  <c r="AR58" i="1" s="1"/>
  <c r="O59" i="1"/>
  <c r="AN40" i="1"/>
  <c r="F41" i="1"/>
  <c r="G41" i="1" s="1"/>
  <c r="M58" i="1"/>
  <c r="AG58" i="1"/>
  <c r="AH58" i="1" s="1"/>
  <c r="K58" i="1"/>
  <c r="P59" i="1"/>
  <c r="U45" i="1"/>
  <c r="AG59" i="1"/>
  <c r="AH59" i="1" s="1"/>
  <c r="K59" i="1"/>
  <c r="F61" i="1"/>
  <c r="G61" i="1" s="1"/>
  <c r="AQ64" i="1"/>
  <c r="AQ66" i="1" s="1"/>
  <c r="M60" i="1"/>
  <c r="AH60" i="1"/>
  <c r="AG60" i="1"/>
  <c r="K60" i="1"/>
  <c r="U56" i="1"/>
  <c r="H57" i="1"/>
  <c r="U62" i="1"/>
  <c r="H63" i="1"/>
  <c r="J63" i="1" s="1"/>
  <c r="H56" i="1"/>
  <c r="F60" i="1"/>
  <c r="G60" i="1" s="1"/>
  <c r="H62" i="1"/>
  <c r="I73" i="1"/>
  <c r="J73" i="1" s="1"/>
  <c r="F74" i="1" s="1"/>
  <c r="F75" i="1" s="1"/>
  <c r="M54" i="1"/>
  <c r="H61" i="1"/>
  <c r="AM61" i="1" l="1"/>
  <c r="AN61" i="1" s="1"/>
  <c r="AR61" i="1" s="1"/>
  <c r="T61" i="1"/>
  <c r="U61" i="1"/>
  <c r="AM11" i="1"/>
  <c r="AN11" i="1" s="1"/>
  <c r="AR11" i="1" s="1"/>
  <c r="T11" i="1"/>
  <c r="U11" i="1"/>
  <c r="AM60" i="1"/>
  <c r="AN60" i="1" s="1"/>
  <c r="AR60" i="1" s="1"/>
  <c r="U60" i="1"/>
  <c r="T60" i="1"/>
  <c r="AM44" i="1"/>
  <c r="AN44" i="1" s="1"/>
  <c r="AR44" i="1" s="1"/>
  <c r="U44" i="1"/>
  <c r="T44" i="1"/>
  <c r="AM8" i="1"/>
  <c r="U8" i="1"/>
  <c r="T8" i="1"/>
  <c r="Q26" i="1"/>
  <c r="X26" i="1"/>
  <c r="AO26" i="1"/>
  <c r="AP26" i="1" s="1"/>
  <c r="AS26" i="1" s="1"/>
  <c r="AM41" i="1"/>
  <c r="T41" i="1"/>
  <c r="U41" i="1"/>
  <c r="AM43" i="1"/>
  <c r="AN43" i="1" s="1"/>
  <c r="AR43" i="1" s="1"/>
  <c r="T43" i="1"/>
  <c r="U43" i="1"/>
  <c r="AM26" i="1"/>
  <c r="T26" i="1"/>
  <c r="T32" i="1" s="1"/>
  <c r="T33" i="1" s="1"/>
  <c r="U26" i="1"/>
  <c r="L26" i="1"/>
  <c r="X14" i="1"/>
  <c r="Q14" i="1"/>
  <c r="AO14" i="1"/>
  <c r="AP14" i="1" s="1"/>
  <c r="AS14" i="1" s="1"/>
  <c r="AM63" i="1"/>
  <c r="AN63" i="1" s="1"/>
  <c r="AR63" i="1" s="1"/>
  <c r="U63" i="1"/>
  <c r="T63" i="1"/>
  <c r="AM46" i="1"/>
  <c r="AN46" i="1" s="1"/>
  <c r="AR46" i="1" s="1"/>
  <c r="U46" i="1"/>
  <c r="T46" i="1"/>
  <c r="T81" i="1" s="1"/>
  <c r="P58" i="1"/>
  <c r="O58" i="1"/>
  <c r="AM62" i="1"/>
  <c r="AN62" i="1" s="1"/>
  <c r="AR62" i="1" s="1"/>
  <c r="T62" i="1"/>
  <c r="U47" i="1"/>
  <c r="M42" i="1"/>
  <c r="AH42" i="1"/>
  <c r="AG42" i="1"/>
  <c r="K42" i="1"/>
  <c r="J42" i="1"/>
  <c r="U48" i="1"/>
  <c r="U49" i="1" s="1"/>
  <c r="AG30" i="1"/>
  <c r="AH30" i="1" s="1"/>
  <c r="M30" i="1"/>
  <c r="AJ11" i="1"/>
  <c r="AK11" i="1" s="1"/>
  <c r="W11" i="1"/>
  <c r="V11" i="1"/>
  <c r="L11" i="1"/>
  <c r="U12" i="1"/>
  <c r="U79" i="1" s="1"/>
  <c r="AM12" i="1"/>
  <c r="AN12" i="1" s="1"/>
  <c r="AR12" i="1" s="1"/>
  <c r="AG56" i="1"/>
  <c r="AH56" i="1" s="1"/>
  <c r="M56" i="1"/>
  <c r="J56" i="1"/>
  <c r="K56" i="1" s="1"/>
  <c r="W60" i="1"/>
  <c r="AJ60" i="1"/>
  <c r="AK60" i="1" s="1"/>
  <c r="L60" i="1"/>
  <c r="V60" i="1"/>
  <c r="AA60" i="1" s="1"/>
  <c r="AB60" i="1" s="1"/>
  <c r="AM56" i="1"/>
  <c r="T56" i="1"/>
  <c r="M47" i="1"/>
  <c r="AG47" i="1"/>
  <c r="J47" i="1"/>
  <c r="K47" i="1" s="1"/>
  <c r="AH47" i="1"/>
  <c r="P31" i="1"/>
  <c r="O31" i="1"/>
  <c r="T10" i="1"/>
  <c r="T77" i="1" s="1"/>
  <c r="W10" i="1"/>
  <c r="U10" i="1"/>
  <c r="T48" i="1"/>
  <c r="T49" i="1" s="1"/>
  <c r="AO11" i="1"/>
  <c r="AP11" i="1" s="1"/>
  <c r="AS11" i="1" s="1"/>
  <c r="Q11" i="1"/>
  <c r="X11" i="1"/>
  <c r="AG62" i="1"/>
  <c r="AH62" i="1" s="1"/>
  <c r="M62" i="1"/>
  <c r="J62" i="1"/>
  <c r="K62" i="1" s="1"/>
  <c r="V59" i="1"/>
  <c r="AA59" i="1" s="1"/>
  <c r="AB59" i="1" s="1"/>
  <c r="L59" i="1"/>
  <c r="AJ59" i="1"/>
  <c r="AK59" i="1" s="1"/>
  <c r="W59" i="1"/>
  <c r="AO59" i="1"/>
  <c r="AP59" i="1" s="1"/>
  <c r="AS59" i="1" s="1"/>
  <c r="X59" i="1"/>
  <c r="Q59" i="1"/>
  <c r="M41" i="1"/>
  <c r="AH41" i="1"/>
  <c r="AG41" i="1"/>
  <c r="K41" i="1"/>
  <c r="J41" i="1"/>
  <c r="M46" i="1"/>
  <c r="AG46" i="1"/>
  <c r="AH46" i="1" s="1"/>
  <c r="K46" i="1"/>
  <c r="AH25" i="1"/>
  <c r="AG25" i="1"/>
  <c r="K25" i="1"/>
  <c r="M25" i="1"/>
  <c r="T80" i="1"/>
  <c r="S16" i="1"/>
  <c r="AG15" i="1"/>
  <c r="AH15" i="1" s="1"/>
  <c r="K15" i="1"/>
  <c r="M15" i="1"/>
  <c r="K8" i="1"/>
  <c r="AG8" i="1"/>
  <c r="AH8" i="1" s="1"/>
  <c r="M8" i="1"/>
  <c r="U80" i="1"/>
  <c r="AG63" i="1"/>
  <c r="AH63" i="1" s="1"/>
  <c r="K63" i="1"/>
  <c r="M63" i="1"/>
  <c r="M44" i="1"/>
  <c r="K44" i="1"/>
  <c r="AG44" i="1"/>
  <c r="AH44" i="1" s="1"/>
  <c r="AG24" i="1"/>
  <c r="AH24" i="1" s="1"/>
  <c r="K24" i="1"/>
  <c r="M24" i="1"/>
  <c r="V13" i="1"/>
  <c r="L13" i="1"/>
  <c r="AJ13" i="1"/>
  <c r="AK13" i="1" s="1"/>
  <c r="T9" i="1"/>
  <c r="U9" i="1"/>
  <c r="U76" i="1" s="1"/>
  <c r="V9" i="1"/>
  <c r="W9" i="1"/>
  <c r="AM27" i="1"/>
  <c r="AN27" i="1" s="1"/>
  <c r="AR27" i="1" s="1"/>
  <c r="U27" i="1"/>
  <c r="U32" i="1" s="1"/>
  <c r="U33" i="1" s="1"/>
  <c r="Q12" i="1"/>
  <c r="AA26" i="1"/>
  <c r="AB26" i="1" s="1"/>
  <c r="M61" i="1"/>
  <c r="AH61" i="1"/>
  <c r="AG61" i="1"/>
  <c r="K61" i="1"/>
  <c r="O60" i="1"/>
  <c r="P60" i="1" s="1"/>
  <c r="AJ58" i="1"/>
  <c r="AK58" i="1" s="1"/>
  <c r="W58" i="1"/>
  <c r="V58" i="1"/>
  <c r="AA58" i="1" s="1"/>
  <c r="AB58" i="1" s="1"/>
  <c r="L58" i="1"/>
  <c r="J61" i="1"/>
  <c r="AH40" i="1"/>
  <c r="M40" i="1"/>
  <c r="AG40" i="1"/>
  <c r="J40" i="1"/>
  <c r="K40" i="1" s="1"/>
  <c r="J27" i="1"/>
  <c r="K27" i="1" s="1"/>
  <c r="AG27" i="1"/>
  <c r="AH27" i="1" s="1"/>
  <c r="M27" i="1"/>
  <c r="T12" i="1"/>
  <c r="T79" i="1" s="1"/>
  <c r="V15" i="1"/>
  <c r="U15" i="1"/>
  <c r="U82" i="1" s="1"/>
  <c r="T15" i="1"/>
  <c r="T82" i="1" s="1"/>
  <c r="W15" i="1"/>
  <c r="L9" i="1"/>
  <c r="AK9" i="1"/>
  <c r="AJ9" i="1"/>
  <c r="J30" i="1"/>
  <c r="K30" i="1" s="1"/>
  <c r="U81" i="1"/>
  <c r="AO13" i="1"/>
  <c r="AP13" i="1" s="1"/>
  <c r="AS13" i="1" s="1"/>
  <c r="X13" i="1"/>
  <c r="Q13" i="1"/>
  <c r="AG57" i="1"/>
  <c r="AH57" i="1" s="1"/>
  <c r="M57" i="1"/>
  <c r="AR40" i="1"/>
  <c r="J57" i="1"/>
  <c r="K57" i="1" s="1"/>
  <c r="AM57" i="1"/>
  <c r="AN57" i="1" s="1"/>
  <c r="AR57" i="1" s="1"/>
  <c r="U57" i="1"/>
  <c r="U64" i="1" s="1"/>
  <c r="U65" i="1" s="1"/>
  <c r="M43" i="1"/>
  <c r="AH43" i="1"/>
  <c r="AG43" i="1"/>
  <c r="J43" i="1"/>
  <c r="K43" i="1" s="1"/>
  <c r="K45" i="1"/>
  <c r="M45" i="1"/>
  <c r="AG45" i="1"/>
  <c r="AH45" i="1" s="1"/>
  <c r="AJ31" i="1"/>
  <c r="AK31" i="1" s="1"/>
  <c r="L31" i="1"/>
  <c r="W31" i="1"/>
  <c r="AG29" i="1"/>
  <c r="K29" i="1"/>
  <c r="AH29" i="1"/>
  <c r="M29" i="1"/>
  <c r="W14" i="1"/>
  <c r="V14" i="1"/>
  <c r="L14" i="1"/>
  <c r="AJ14" i="1"/>
  <c r="AK14" i="1" s="1"/>
  <c r="Y12" i="1"/>
  <c r="M10" i="1"/>
  <c r="K10" i="1"/>
  <c r="AG10" i="1"/>
  <c r="AH10" i="1" s="1"/>
  <c r="L12" i="1"/>
  <c r="AO9" i="1"/>
  <c r="AP9" i="1" s="1"/>
  <c r="AS9" i="1" s="1"/>
  <c r="Q9" i="1"/>
  <c r="X9" i="1"/>
  <c r="AC28" i="1"/>
  <c r="AD28" i="1" s="1"/>
  <c r="Y28" i="1"/>
  <c r="AK62" i="1" l="1"/>
  <c r="AJ62" i="1"/>
  <c r="L62" i="1"/>
  <c r="W62" i="1"/>
  <c r="V62" i="1"/>
  <c r="AA62" i="1" s="1"/>
  <c r="AB62" i="1" s="1"/>
  <c r="AO60" i="1"/>
  <c r="AP60" i="1" s="1"/>
  <c r="AS60" i="1" s="1"/>
  <c r="X60" i="1"/>
  <c r="Q60" i="1"/>
  <c r="AK47" i="1"/>
  <c r="AJ47" i="1"/>
  <c r="L47" i="1"/>
  <c r="W47" i="1"/>
  <c r="W82" i="1" s="1"/>
  <c r="V47" i="1"/>
  <c r="AA47" i="1" s="1"/>
  <c r="AB47" i="1" s="1"/>
  <c r="L43" i="1"/>
  <c r="AK43" i="1"/>
  <c r="AJ43" i="1"/>
  <c r="W43" i="1"/>
  <c r="V43" i="1"/>
  <c r="AA43" i="1" s="1"/>
  <c r="AB43" i="1" s="1"/>
  <c r="L57" i="1"/>
  <c r="AJ57" i="1"/>
  <c r="AK57" i="1" s="1"/>
  <c r="W57" i="1"/>
  <c r="V57" i="1"/>
  <c r="AA57" i="1" s="1"/>
  <c r="AB57" i="1" s="1"/>
  <c r="AK27" i="1"/>
  <c r="AJ27" i="1"/>
  <c r="L27" i="1"/>
  <c r="V27" i="1"/>
  <c r="AA27" i="1" s="1"/>
  <c r="AB27" i="1" s="1"/>
  <c r="W27" i="1"/>
  <c r="L30" i="1"/>
  <c r="AK30" i="1"/>
  <c r="W30" i="1"/>
  <c r="V30" i="1"/>
  <c r="AA30" i="1" s="1"/>
  <c r="AB30" i="1" s="1"/>
  <c r="AJ30" i="1"/>
  <c r="L40" i="1"/>
  <c r="W40" i="1"/>
  <c r="AJ40" i="1"/>
  <c r="AK40" i="1" s="1"/>
  <c r="V40" i="1"/>
  <c r="AK56" i="1"/>
  <c r="AJ56" i="1"/>
  <c r="L56" i="1"/>
  <c r="W56" i="1"/>
  <c r="V56" i="1"/>
  <c r="AA14" i="1"/>
  <c r="P45" i="1"/>
  <c r="O45" i="1"/>
  <c r="O43" i="1"/>
  <c r="P43" i="1" s="1"/>
  <c r="P57" i="1"/>
  <c r="O57" i="1"/>
  <c r="AK61" i="1"/>
  <c r="AJ61" i="1"/>
  <c r="L61" i="1"/>
  <c r="W61" i="1"/>
  <c r="V61" i="1"/>
  <c r="AA61" i="1" s="1"/>
  <c r="AB61" i="1" s="1"/>
  <c r="AJ24" i="1"/>
  <c r="AK24" i="1" s="1"/>
  <c r="W24" i="1"/>
  <c r="V24" i="1"/>
  <c r="L24" i="1"/>
  <c r="O63" i="1"/>
  <c r="P63" i="1" s="1"/>
  <c r="AJ41" i="1"/>
  <c r="L41" i="1"/>
  <c r="AK41" i="1"/>
  <c r="W41" i="1"/>
  <c r="V41" i="1"/>
  <c r="AA41" i="1" s="1"/>
  <c r="AB41" i="1" s="1"/>
  <c r="P33" i="1"/>
  <c r="Q31" i="1"/>
  <c r="AO31" i="1"/>
  <c r="AP31" i="1" s="1"/>
  <c r="AS31" i="1" s="1"/>
  <c r="X31" i="1"/>
  <c r="P47" i="1"/>
  <c r="O47" i="1"/>
  <c r="AC14" i="1"/>
  <c r="Y14" i="1"/>
  <c r="U78" i="1"/>
  <c r="AC12" i="1"/>
  <c r="W81" i="1"/>
  <c r="AJ45" i="1"/>
  <c r="AK45" i="1" s="1"/>
  <c r="V45" i="1"/>
  <c r="AA45" i="1" s="1"/>
  <c r="AB45" i="1" s="1"/>
  <c r="L45" i="1"/>
  <c r="W45" i="1"/>
  <c r="P40" i="1"/>
  <c r="O40" i="1"/>
  <c r="L63" i="1"/>
  <c r="AK63" i="1"/>
  <c r="AJ63" i="1"/>
  <c r="W63" i="1"/>
  <c r="V63" i="1"/>
  <c r="AA63" i="1" s="1"/>
  <c r="AB63" i="1" s="1"/>
  <c r="AJ46" i="1"/>
  <c r="AK46" i="1" s="1"/>
  <c r="W46" i="1"/>
  <c r="L46" i="1"/>
  <c r="V46" i="1"/>
  <c r="AA46" i="1" s="1"/>
  <c r="AB46" i="1" s="1"/>
  <c r="AC11" i="1"/>
  <c r="Y11" i="1"/>
  <c r="U77" i="1"/>
  <c r="T64" i="1"/>
  <c r="T65" i="1" s="1"/>
  <c r="V78" i="1"/>
  <c r="AA11" i="1"/>
  <c r="O42" i="1"/>
  <c r="P42" i="1"/>
  <c r="AC26" i="1"/>
  <c r="AD26" i="1" s="1"/>
  <c r="Y26" i="1"/>
  <c r="T78" i="1"/>
  <c r="AJ8" i="1"/>
  <c r="AK8" i="1" s="1"/>
  <c r="V8" i="1"/>
  <c r="W8" i="1"/>
  <c r="L8" i="1"/>
  <c r="O62" i="1"/>
  <c r="P62" i="1" s="1"/>
  <c r="W77" i="1"/>
  <c r="AM64" i="1"/>
  <c r="AN56" i="1"/>
  <c r="W78" i="1"/>
  <c r="AO58" i="1"/>
  <c r="AP58" i="1" s="1"/>
  <c r="AS58" i="1" s="1"/>
  <c r="X58" i="1"/>
  <c r="Q58" i="1"/>
  <c r="L10" i="1"/>
  <c r="AK10" i="1"/>
  <c r="AJ10" i="1"/>
  <c r="V82" i="1"/>
  <c r="AA15" i="1"/>
  <c r="O61" i="1"/>
  <c r="P61" i="1" s="1"/>
  <c r="AA9" i="1"/>
  <c r="AA13" i="1"/>
  <c r="P25" i="1"/>
  <c r="O25" i="1"/>
  <c r="O46" i="1"/>
  <c r="P46" i="1" s="1"/>
  <c r="O41" i="1"/>
  <c r="P41" i="1" s="1"/>
  <c r="V10" i="1"/>
  <c r="T75" i="1"/>
  <c r="T83" i="1" s="1"/>
  <c r="T84" i="1" s="1"/>
  <c r="T16" i="1"/>
  <c r="T17" i="1" s="1"/>
  <c r="AA12" i="1"/>
  <c r="P56" i="1"/>
  <c r="O56" i="1"/>
  <c r="L42" i="1"/>
  <c r="AJ42" i="1"/>
  <c r="AK42" i="1" s="1"/>
  <c r="V42" i="1"/>
  <c r="AA42" i="1" s="1"/>
  <c r="AB42" i="1" s="1"/>
  <c r="W42" i="1"/>
  <c r="P29" i="1"/>
  <c r="O29" i="1"/>
  <c r="Y9" i="1"/>
  <c r="AC9" i="1"/>
  <c r="O10" i="1"/>
  <c r="P10" i="1" s="1"/>
  <c r="W29" i="1"/>
  <c r="W80" i="1" s="1"/>
  <c r="AJ29" i="1"/>
  <c r="V29" i="1"/>
  <c r="AA29" i="1" s="1"/>
  <c r="AB29" i="1" s="1"/>
  <c r="L29" i="1"/>
  <c r="AK29" i="1"/>
  <c r="P24" i="1"/>
  <c r="O24" i="1"/>
  <c r="W44" i="1"/>
  <c r="W79" i="1" s="1"/>
  <c r="V44" i="1"/>
  <c r="AK44" i="1"/>
  <c r="L44" i="1"/>
  <c r="AJ44" i="1"/>
  <c r="O15" i="1"/>
  <c r="P15" i="1"/>
  <c r="L25" i="1"/>
  <c r="AK25" i="1"/>
  <c r="AJ25" i="1"/>
  <c r="W25" i="1"/>
  <c r="W76" i="1" s="1"/>
  <c r="V25" i="1"/>
  <c r="AA25" i="1" s="1"/>
  <c r="AB25" i="1" s="1"/>
  <c r="AN26" i="1"/>
  <c r="AM32" i="1"/>
  <c r="U75" i="1"/>
  <c r="U83" i="1" s="1"/>
  <c r="U84" i="1" s="1"/>
  <c r="U85" i="1" s="1"/>
  <c r="U16" i="1"/>
  <c r="U17" i="1" s="1"/>
  <c r="AC13" i="1"/>
  <c r="Y13" i="1"/>
  <c r="O27" i="1"/>
  <c r="P27" i="1"/>
  <c r="T76" i="1"/>
  <c r="O44" i="1"/>
  <c r="P44" i="1" s="1"/>
  <c r="O8" i="1"/>
  <c r="P8" i="1" s="1"/>
  <c r="L15" i="1"/>
  <c r="AK15" i="1"/>
  <c r="AJ15" i="1"/>
  <c r="AC59" i="1"/>
  <c r="AD59" i="1" s="1"/>
  <c r="Y59" i="1"/>
  <c r="P30" i="1"/>
  <c r="O30" i="1"/>
  <c r="AN41" i="1"/>
  <c r="AM48" i="1"/>
  <c r="AM16" i="1"/>
  <c r="AN8" i="1"/>
  <c r="AO41" i="1" l="1"/>
  <c r="AP41" i="1" s="1"/>
  <c r="AS41" i="1" s="1"/>
  <c r="Q41" i="1"/>
  <c r="X41" i="1"/>
  <c r="X61" i="1"/>
  <c r="Q61" i="1"/>
  <c r="AO61" i="1"/>
  <c r="AP61" i="1" s="1"/>
  <c r="AS61" i="1" s="1"/>
  <c r="X63" i="1"/>
  <c r="Q63" i="1"/>
  <c r="AO63" i="1"/>
  <c r="AP63" i="1" s="1"/>
  <c r="AS63" i="1" s="1"/>
  <c r="AO43" i="1"/>
  <c r="AP43" i="1" s="1"/>
  <c r="AS43" i="1" s="1"/>
  <c r="Q43" i="1"/>
  <c r="X43" i="1"/>
  <c r="Q46" i="1"/>
  <c r="AO46" i="1"/>
  <c r="AP46" i="1" s="1"/>
  <c r="AS46" i="1" s="1"/>
  <c r="X46" i="1"/>
  <c r="AO62" i="1"/>
  <c r="AP62" i="1" s="1"/>
  <c r="AS62" i="1" s="1"/>
  <c r="X62" i="1"/>
  <c r="Q62" i="1"/>
  <c r="X8" i="1"/>
  <c r="Q8" i="1"/>
  <c r="AO8" i="1"/>
  <c r="Q10" i="1"/>
  <c r="X10" i="1"/>
  <c r="AO10" i="1"/>
  <c r="AP10" i="1" s="1"/>
  <c r="AS10" i="1" s="1"/>
  <c r="X44" i="1"/>
  <c r="Q44" i="1"/>
  <c r="AO44" i="1"/>
  <c r="AP44" i="1" s="1"/>
  <c r="AS44" i="1" s="1"/>
  <c r="X30" i="1"/>
  <c r="AO30" i="1"/>
  <c r="AP30" i="1" s="1"/>
  <c r="AS30" i="1" s="1"/>
  <c r="Q30" i="1"/>
  <c r="AD13" i="1"/>
  <c r="AA76" i="1"/>
  <c r="AB9" i="1"/>
  <c r="AB76" i="1" s="1"/>
  <c r="X57" i="1"/>
  <c r="Q57" i="1"/>
  <c r="AO57" i="1"/>
  <c r="AP57" i="1" s="1"/>
  <c r="AS57" i="1" s="1"/>
  <c r="W64" i="1"/>
  <c r="W65" i="1" s="1"/>
  <c r="AN16" i="1"/>
  <c r="AR8" i="1"/>
  <c r="AR16" i="1" s="1"/>
  <c r="AD9" i="1"/>
  <c r="V76" i="1"/>
  <c r="AD11" i="1"/>
  <c r="AD14" i="1"/>
  <c r="AO15" i="1"/>
  <c r="AP15" i="1" s="1"/>
  <c r="AS15" i="1" s="1"/>
  <c r="Q15" i="1"/>
  <c r="X15" i="1"/>
  <c r="V77" i="1"/>
  <c r="AA10" i="1"/>
  <c r="AO42" i="1"/>
  <c r="AP42" i="1" s="1"/>
  <c r="AS42" i="1" s="1"/>
  <c r="Q42" i="1"/>
  <c r="X42" i="1"/>
  <c r="Y31" i="1"/>
  <c r="AC31" i="1"/>
  <c r="AD31" i="1" s="1"/>
  <c r="AO45" i="1"/>
  <c r="AP45" i="1" s="1"/>
  <c r="AS45" i="1" s="1"/>
  <c r="Q45" i="1"/>
  <c r="X45" i="1"/>
  <c r="W48" i="1"/>
  <c r="W49" i="1" s="1"/>
  <c r="AO24" i="1"/>
  <c r="X24" i="1"/>
  <c r="Q24" i="1"/>
  <c r="AO56" i="1"/>
  <c r="Q56" i="1"/>
  <c r="X56" i="1"/>
  <c r="Q25" i="1"/>
  <c r="X25" i="1"/>
  <c r="AO25" i="1"/>
  <c r="AP25" i="1" s="1"/>
  <c r="AS25" i="1" s="1"/>
  <c r="AN64" i="1"/>
  <c r="AR56" i="1"/>
  <c r="AR64" i="1" s="1"/>
  <c r="AA78" i="1"/>
  <c r="AB11" i="1"/>
  <c r="AB78" i="1" s="1"/>
  <c r="X40" i="1"/>
  <c r="AO40" i="1"/>
  <c r="Q40" i="1"/>
  <c r="V32" i="1"/>
  <c r="V33" i="1" s="1"/>
  <c r="AA24" i="1"/>
  <c r="AA81" i="1"/>
  <c r="AB14" i="1"/>
  <c r="AB81" i="1" s="1"/>
  <c r="AM66" i="1"/>
  <c r="W32" i="1"/>
  <c r="W33" i="1" s="1"/>
  <c r="V81" i="1"/>
  <c r="Q27" i="1"/>
  <c r="X27" i="1"/>
  <c r="AO27" i="1"/>
  <c r="AP27" i="1" s="1"/>
  <c r="AS27" i="1" s="1"/>
  <c r="AB12" i="1"/>
  <c r="AB79" i="1" s="1"/>
  <c r="W75" i="1"/>
  <c r="W83" i="1" s="1"/>
  <c r="W84" i="1" s="1"/>
  <c r="W16" i="1"/>
  <c r="W17" i="1" s="1"/>
  <c r="AR41" i="1"/>
  <c r="AR48" i="1" s="1"/>
  <c r="AN48" i="1"/>
  <c r="AA80" i="1"/>
  <c r="AB13" i="1"/>
  <c r="AB80" i="1" s="1"/>
  <c r="AD12" i="1"/>
  <c r="V48" i="1"/>
  <c r="V49" i="1" s="1"/>
  <c r="AA40" i="1"/>
  <c r="AR26" i="1"/>
  <c r="AR32" i="1" s="1"/>
  <c r="AN32" i="1"/>
  <c r="AA44" i="1"/>
  <c r="AB44" i="1" s="1"/>
  <c r="V79" i="1"/>
  <c r="AO29" i="1"/>
  <c r="AP29" i="1" s="1"/>
  <c r="AS29" i="1" s="1"/>
  <c r="Q29" i="1"/>
  <c r="X29" i="1"/>
  <c r="V80" i="1"/>
  <c r="AA82" i="1"/>
  <c r="AB15" i="1"/>
  <c r="AB82" i="1" s="1"/>
  <c r="Y58" i="1"/>
  <c r="AC58" i="1"/>
  <c r="AD58" i="1" s="1"/>
  <c r="V75" i="1"/>
  <c r="V16" i="1"/>
  <c r="V17" i="1" s="1"/>
  <c r="AA8" i="1"/>
  <c r="AO47" i="1"/>
  <c r="AP47" i="1" s="1"/>
  <c r="AS47" i="1" s="1"/>
  <c r="Q47" i="1"/>
  <c r="X47" i="1"/>
  <c r="V64" i="1"/>
  <c r="V65" i="1" s="1"/>
  <c r="AA56" i="1"/>
  <c r="Y60" i="1"/>
  <c r="AC60" i="1"/>
  <c r="AD60" i="1" s="1"/>
  <c r="AB56" i="1" l="1"/>
  <c r="AB64" i="1" s="1"/>
  <c r="AB65" i="1" s="1"/>
  <c r="AA64" i="1"/>
  <c r="AA65" i="1" s="1"/>
  <c r="AA48" i="1"/>
  <c r="AA49" i="1" s="1"/>
  <c r="AB40" i="1"/>
  <c r="AB48" i="1" s="1"/>
  <c r="AB49" i="1" s="1"/>
  <c r="X48" i="1"/>
  <c r="X49" i="1" s="1"/>
  <c r="Y40" i="1"/>
  <c r="AC40" i="1"/>
  <c r="Y25" i="1"/>
  <c r="AC25" i="1"/>
  <c r="X76" i="1"/>
  <c r="AA77" i="1"/>
  <c r="AB10" i="1"/>
  <c r="AB77" i="1" s="1"/>
  <c r="AC43" i="1"/>
  <c r="AD43" i="1" s="1"/>
  <c r="Y43" i="1"/>
  <c r="AC27" i="1"/>
  <c r="Y27" i="1"/>
  <c r="X78" i="1"/>
  <c r="Y24" i="1"/>
  <c r="X32" i="1"/>
  <c r="X33" i="1" s="1"/>
  <c r="AC24" i="1"/>
  <c r="X77" i="1"/>
  <c r="AC10" i="1"/>
  <c r="Y10" i="1"/>
  <c r="Y62" i="1"/>
  <c r="AC62" i="1"/>
  <c r="AD62" i="1" s="1"/>
  <c r="AA75" i="1"/>
  <c r="AA16" i="1"/>
  <c r="AA17" i="1" s="1"/>
  <c r="AB8" i="1"/>
  <c r="AA32" i="1"/>
  <c r="AA33" i="1" s="1"/>
  <c r="AB24" i="1"/>
  <c r="AB32" i="1" s="1"/>
  <c r="AB33" i="1" s="1"/>
  <c r="Y56" i="1"/>
  <c r="X64" i="1"/>
  <c r="X65" i="1" s="1"/>
  <c r="AC56" i="1"/>
  <c r="AO32" i="1"/>
  <c r="AP24" i="1"/>
  <c r="X82" i="1"/>
  <c r="Y15" i="1"/>
  <c r="AC15" i="1"/>
  <c r="AC30" i="1"/>
  <c r="Y30" i="1"/>
  <c r="X81" i="1"/>
  <c r="AC61" i="1"/>
  <c r="AD61" i="1" s="1"/>
  <c r="Y61" i="1"/>
  <c r="AB87" i="1"/>
  <c r="W85" i="1"/>
  <c r="AR66" i="1"/>
  <c r="AC42" i="1"/>
  <c r="AD42" i="1" s="1"/>
  <c r="Y42" i="1"/>
  <c r="AO16" i="1"/>
  <c r="AP8" i="1"/>
  <c r="AC46" i="1"/>
  <c r="AD46" i="1" s="1"/>
  <c r="Y46" i="1"/>
  <c r="Y41" i="1"/>
  <c r="AC41" i="1"/>
  <c r="AD41" i="1" s="1"/>
  <c r="V83" i="1"/>
  <c r="V84" i="1" s="1"/>
  <c r="AN66" i="1"/>
  <c r="AC45" i="1"/>
  <c r="AD45" i="1" s="1"/>
  <c r="Y45" i="1"/>
  <c r="Y29" i="1"/>
  <c r="Y80" i="1" s="1"/>
  <c r="AC29" i="1"/>
  <c r="X80" i="1"/>
  <c r="AO64" i="1"/>
  <c r="AP56" i="1"/>
  <c r="AC47" i="1"/>
  <c r="AD47" i="1" s="1"/>
  <c r="Y47" i="1"/>
  <c r="AA79" i="1"/>
  <c r="AO48" i="1"/>
  <c r="AP40" i="1"/>
  <c r="AC57" i="1"/>
  <c r="AD57" i="1" s="1"/>
  <c r="Y57" i="1"/>
  <c r="AC44" i="1"/>
  <c r="Y44" i="1"/>
  <c r="Y79" i="1" s="1"/>
  <c r="X79" i="1"/>
  <c r="X75" i="1"/>
  <c r="X16" i="1"/>
  <c r="X17" i="1" s="1"/>
  <c r="AC8" i="1"/>
  <c r="Y8" i="1"/>
  <c r="AC63" i="1"/>
  <c r="AD63" i="1" s="1"/>
  <c r="Y63" i="1"/>
  <c r="Y81" i="1" l="1"/>
  <c r="Y77" i="1"/>
  <c r="Y32" i="1"/>
  <c r="Y33" i="1" s="1"/>
  <c r="Y48" i="1"/>
  <c r="Y49" i="1" s="1"/>
  <c r="AP48" i="1"/>
  <c r="AS40" i="1"/>
  <c r="AS48" i="1" s="1"/>
  <c r="AO66" i="1"/>
  <c r="AD30" i="1"/>
  <c r="AD81" i="1" s="1"/>
  <c r="AC81" i="1"/>
  <c r="AD56" i="1"/>
  <c r="AD64" i="1" s="1"/>
  <c r="AD65" i="1" s="1"/>
  <c r="AC64" i="1"/>
  <c r="AC65" i="1" s="1"/>
  <c r="AB75" i="1"/>
  <c r="AB83" i="1" s="1"/>
  <c r="AB84" i="1" s="1"/>
  <c r="AB16" i="1"/>
  <c r="AB17" i="1" s="1"/>
  <c r="AC77" i="1"/>
  <c r="AD10" i="1"/>
  <c r="AD77" i="1" s="1"/>
  <c r="AS8" i="1"/>
  <c r="AS16" i="1" s="1"/>
  <c r="AP16" i="1"/>
  <c r="AC82" i="1"/>
  <c r="AD15" i="1"/>
  <c r="AD82" i="1" s="1"/>
  <c r="Y78" i="1"/>
  <c r="Y75" i="1"/>
  <c r="Y16" i="1"/>
  <c r="Y17" i="1" s="1"/>
  <c r="AD44" i="1"/>
  <c r="AD79" i="1" s="1"/>
  <c r="AC79" i="1"/>
  <c r="AD29" i="1"/>
  <c r="AD80" i="1" s="1"/>
  <c r="AC80" i="1"/>
  <c r="Y82" i="1"/>
  <c r="Y64" i="1"/>
  <c r="Y65" i="1" s="1"/>
  <c r="AA83" i="1"/>
  <c r="AA84" i="1" s="1"/>
  <c r="AD27" i="1"/>
  <c r="AD78" i="1" s="1"/>
  <c r="AC78" i="1"/>
  <c r="AD25" i="1"/>
  <c r="AD76" i="1" s="1"/>
  <c r="AC76" i="1"/>
  <c r="AC75" i="1"/>
  <c r="AC16" i="1"/>
  <c r="AC17" i="1" s="1"/>
  <c r="AD8" i="1"/>
  <c r="AC32" i="1"/>
  <c r="AC33" i="1" s="1"/>
  <c r="AD24" i="1"/>
  <c r="Y76" i="1"/>
  <c r="AP32" i="1"/>
  <c r="AS24" i="1"/>
  <c r="AS32" i="1" s="1"/>
  <c r="AC48" i="1"/>
  <c r="AC49" i="1" s="1"/>
  <c r="AD40" i="1"/>
  <c r="X83" i="1"/>
  <c r="X84" i="1" s="1"/>
  <c r="AP64" i="1"/>
  <c r="AP66" i="1" s="1"/>
  <c r="AS56" i="1"/>
  <c r="AS64" i="1" s="1"/>
  <c r="AD75" i="1" l="1"/>
  <c r="AD83" i="1" s="1"/>
  <c r="AD84" i="1" s="1"/>
  <c r="AD16" i="1"/>
  <c r="AD17" i="1" s="1"/>
  <c r="AS66" i="1"/>
  <c r="AC83" i="1"/>
  <c r="AC84" i="1" s="1"/>
  <c r="Y83" i="1"/>
  <c r="Y84" i="1" s="1"/>
  <c r="AD32" i="1"/>
  <c r="AD33" i="1" s="1"/>
  <c r="AD48" i="1"/>
  <c r="AD49" i="1" s="1"/>
  <c r="AD87" i="1" l="1"/>
  <c r="Y85" i="1"/>
</calcChain>
</file>

<file path=xl/sharedStrings.xml><?xml version="1.0" encoding="utf-8"?>
<sst xmlns="http://schemas.openxmlformats.org/spreadsheetml/2006/main" count="369" uniqueCount="93">
  <si>
    <t>Priloga 1:  Izračun plačil staršev po veljavni ceni in po predlaganem sklepu za vsak posamezen program in dohodkovni razred (v evr)</t>
  </si>
  <si>
    <t>1. starostno obdobje</t>
  </si>
  <si>
    <t>SEDAJ VELJAVNE CENE IN PLAČILA</t>
  </si>
  <si>
    <r>
      <t xml:space="preserve">POVEČANJE CEN ZA </t>
    </r>
    <r>
      <rPr>
        <b/>
        <i/>
        <sz val="12"/>
        <rFont val="Calibri Light"/>
        <family val="2"/>
        <charset val="238"/>
        <scheme val="major"/>
      </rPr>
      <t>27 %</t>
    </r>
  </si>
  <si>
    <r>
      <t xml:space="preserve">POVPREČNO POVEČANJE PLST ZA        </t>
    </r>
    <r>
      <rPr>
        <b/>
        <i/>
        <sz val="12"/>
        <rFont val="Calibri Light"/>
        <family val="2"/>
        <charset val="238"/>
        <scheme val="major"/>
      </rPr>
      <t>15 %</t>
    </r>
  </si>
  <si>
    <t>VELJAVNO</t>
  </si>
  <si>
    <t>NOVE CENE ENAK % POPUSTOV</t>
  </si>
  <si>
    <t>NOVE CENE S 15% DVIGOM ZA STARŠE</t>
  </si>
  <si>
    <t>VIŠINA POPUSTOV, ČE ŽELIMO DVIG PLST ZA 15% NA NOVO CENO</t>
  </si>
  <si>
    <t>VIŠINA POPUSTOV, ČE ŽELIMO DVIG PLST ZA 27 % NA NOVO CENO</t>
  </si>
  <si>
    <t>VIŠINA PLAČILA REZERVACIJE ZA ENEGA OTROKA ZA EN MESEC - VELJAVNE CENE</t>
  </si>
  <si>
    <t>VIŠINA PLAČILA REZERVACIJE ZA ENEGA OTROKA ZA EN MESEC - PREDLOG NOVIH CEN IN NOVIH POPUSTOV</t>
  </si>
  <si>
    <t>POVP. ŠT. OTROK - 1MESEC REZERVACIJE ≈ 50 % VSEH OTROK</t>
  </si>
  <si>
    <t>VELJAVNE CENE</t>
  </si>
  <si>
    <t>PREDLOG NOVIH CEN IN NOVIH POPUSTOV</t>
  </si>
  <si>
    <t>Odstotek plačila po lestvici po ZUPJS</t>
  </si>
  <si>
    <t>Razporeditev otrok</t>
  </si>
  <si>
    <t>veljavna cena po PR brez popustov</t>
  </si>
  <si>
    <t>Veljavni popusti</t>
  </si>
  <si>
    <t>Višina popusta v evr</t>
  </si>
  <si>
    <t>Plst po veljavni ceni in veljavnih popustih</t>
  </si>
  <si>
    <t>predlog nove cene po PR brez popustov</t>
  </si>
  <si>
    <t>VELJAVEN % POPUSTOV</t>
  </si>
  <si>
    <t>Višina popusta v EUR po veljavnem % popustov</t>
  </si>
  <si>
    <t>PLST po novih cenah z enakim % popustov kot v veljavnem sklepu</t>
  </si>
  <si>
    <t xml:space="preserve">indeks rasti plačil staršev po predlaganih popustih </t>
  </si>
  <si>
    <t>Ocenjeno povprečno mesečno št. otrok</t>
  </si>
  <si>
    <t>PLST po veljavnih cenah in popustih mesečno</t>
  </si>
  <si>
    <t>PLST po veljavnih cenah in popustih letno</t>
  </si>
  <si>
    <t>PLST po novih cenah in enakih % popustov mesečno</t>
  </si>
  <si>
    <t>PLST po novih cenah in enakih % popustov letno</t>
  </si>
  <si>
    <t>PLST po novih cenah s 15% dvigom mesečno</t>
  </si>
  <si>
    <t>PLST po novih cenah s 15% dvigom letno</t>
  </si>
  <si>
    <t>VIŠINA POPUSTOV V %</t>
  </si>
  <si>
    <t>VIŠINA POPUSTOV V EUR</t>
  </si>
  <si>
    <t>PLST</t>
  </si>
  <si>
    <t>VIŠINA POPUSTOV V % (ENAKA KOT ZDAJ)</t>
  </si>
  <si>
    <t>OBČINA</t>
  </si>
  <si>
    <t>DOPLAČILO OBČINE</t>
  </si>
  <si>
    <t xml:space="preserve"> 5=3*4</t>
  </si>
  <si>
    <t xml:space="preserve"> 6=3-5</t>
  </si>
  <si>
    <t xml:space="preserve"> 9=7*8</t>
  </si>
  <si>
    <t xml:space="preserve"> 10=7-9</t>
  </si>
  <si>
    <t xml:space="preserve"> 11=10:6</t>
  </si>
  <si>
    <t xml:space="preserve"> 16=15:6</t>
  </si>
  <si>
    <t xml:space="preserve"> 18=17*6</t>
  </si>
  <si>
    <t xml:space="preserve"> 20=17*10</t>
  </si>
  <si>
    <t xml:space="preserve"> 22=17*15</t>
  </si>
  <si>
    <t xml:space="preserve"> 24=20-18</t>
  </si>
  <si>
    <t xml:space="preserve"> 26=22-18</t>
  </si>
  <si>
    <t>34=6*0,3</t>
  </si>
  <si>
    <t>35=3-34</t>
  </si>
  <si>
    <t>36=15*0,3</t>
  </si>
  <si>
    <t>37=12-36</t>
  </si>
  <si>
    <t>39 = 38*35</t>
  </si>
  <si>
    <t>40 = 38*37</t>
  </si>
  <si>
    <t>1. razred</t>
  </si>
  <si>
    <t>2. razred</t>
  </si>
  <si>
    <t>3. razred</t>
  </si>
  <si>
    <t>4. razred</t>
  </si>
  <si>
    <t>5. razred</t>
  </si>
  <si>
    <t>6. razred</t>
  </si>
  <si>
    <t>7. razred</t>
  </si>
  <si>
    <t>8. razred</t>
  </si>
  <si>
    <t>9. razred</t>
  </si>
  <si>
    <t>NA 90 %</t>
  </si>
  <si>
    <t>2. starostno obdobje</t>
  </si>
  <si>
    <t>Kombinirani oddelki</t>
  </si>
  <si>
    <t>Oddelki 3-4 letnih otrok</t>
  </si>
  <si>
    <t xml:space="preserve">VIŠINA POPUSTOV, ČE ŽELIMO DVIG PLST ZA 27 % NA NOVO CENO </t>
  </si>
  <si>
    <r>
      <t xml:space="preserve">Če bi en mesec rezervacije koristilo približno enako število otrk (to je cca 50 % vseh vpisanih otrok), bi po predlogu novih cen in novih popustov, občina za rezervacije morala doplačati </t>
    </r>
    <r>
      <rPr>
        <b/>
        <sz val="15"/>
        <rFont val="Calibri Light"/>
        <family val="2"/>
        <charset val="238"/>
        <scheme val="major"/>
      </rPr>
      <t>dodatnih 290.000 EUR.</t>
    </r>
  </si>
  <si>
    <t>SKUPAJ VSI PROGRAMI</t>
  </si>
  <si>
    <t>SKUPAJ RAZLIKE PLAČIL STARŠEV</t>
  </si>
  <si>
    <t>PRIHODEK MOL - LJ. VRTCEV OD DRUGIH OBČIN</t>
  </si>
  <si>
    <t>Ocena PLST sedaj - mesečno</t>
  </si>
  <si>
    <t>Ocena PLST sedaj - letno</t>
  </si>
  <si>
    <t>Doplačilo občine sedaj - mesečno</t>
  </si>
  <si>
    <t>Doplačilo občine sedaj - letno</t>
  </si>
  <si>
    <t>Ocena PLST po predlaganih novih cenah- mesečno</t>
  </si>
  <si>
    <t>Ocena PLST po predlaganih novih cenah- letno</t>
  </si>
  <si>
    <t>Doplačilo občine po predlaganih novih cenah - mesečno</t>
  </si>
  <si>
    <t>Doplačilo občine po predlaganih novih cenah - letno</t>
  </si>
  <si>
    <t>ŠT. OTROK</t>
  </si>
  <si>
    <t>Razlika</t>
  </si>
  <si>
    <t>POVEČANI ODHODKI MOL ZA PLAČILA ZASEBNIH VRTCEV</t>
  </si>
  <si>
    <t>NOVE CENE ENAK % POPUSTOV - LETNO</t>
  </si>
  <si>
    <t>NOVE CENE S 15% DVIGOM ZA STARŠE - LETNO</t>
  </si>
  <si>
    <t xml:space="preserve">RAZLIKA MED VELJAVNIMI CENAMI IN PREDLOGI - PLAČILA STARŠEV: </t>
  </si>
  <si>
    <t>nove cene po PR brez popustov</t>
  </si>
  <si>
    <t>SPREJETI  % POPUSTOV</t>
  </si>
  <si>
    <t xml:space="preserve">Višina popusta v EUR </t>
  </si>
  <si>
    <t>Plačilo staršev (iz Ljubljane) po 1.10.2023</t>
  </si>
  <si>
    <t xml:space="preserve">indeks rasti plačil staršev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</si>
</sst>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Calibri Light"/>
      <family val="2"/>
      <charset val="238"/>
      <scheme val="major"/>
    </font>
    <font>
      <i/>
      <sz val="12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i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i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8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15"/>
      <name val="Calibri Light"/>
      <family val="2"/>
      <charset val="238"/>
      <scheme val="major"/>
    </font>
    <font>
      <b/>
      <sz val="14"/>
      <name val="Calibri Light"/>
      <family val="2"/>
      <charset val="238"/>
      <scheme val="major"/>
    </font>
    <font>
      <b/>
      <sz val="10.5"/>
      <name val="Calibri Light"/>
      <family val="2"/>
      <charset val="238"/>
      <scheme val="major"/>
    </font>
    <font>
      <b/>
      <sz val="12"/>
      <color theme="8"/>
      <name val="Calibri Light"/>
      <family val="2"/>
      <charset val="238"/>
      <scheme val="major"/>
    </font>
    <font>
      <b/>
      <sz val="10"/>
      <color theme="8"/>
      <name val="Calibri Light"/>
      <family val="2"/>
      <charset val="238"/>
      <scheme val="major"/>
    </font>
    <font>
      <sz val="12"/>
      <color theme="8"/>
      <name val="Calibri Light"/>
      <family val="2"/>
      <charset val="238"/>
      <scheme val="major"/>
    </font>
    <font>
      <sz val="10"/>
      <color theme="8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 applyProtection="1">
      <alignment horizontal="center" vertical="center" wrapText="1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10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/>
    <xf numFmtId="3" fontId="5" fillId="2" borderId="1" xfId="0" applyNumberFormat="1" applyFont="1" applyFill="1" applyBorder="1" applyAlignment="1" applyProtection="1">
      <alignment wrapText="1"/>
    </xf>
    <xf numFmtId="3" fontId="4" fillId="2" borderId="1" xfId="0" applyNumberFormat="1" applyFont="1" applyFill="1" applyBorder="1" applyAlignment="1" applyProtection="1">
      <alignment wrapText="1"/>
    </xf>
    <xf numFmtId="3" fontId="3" fillId="2" borderId="1" xfId="0" applyNumberFormat="1" applyFont="1" applyFill="1" applyBorder="1" applyAlignment="1" applyProtection="1">
      <alignment wrapText="1"/>
    </xf>
    <xf numFmtId="0" fontId="5" fillId="2" borderId="1" xfId="0" applyFont="1" applyFill="1" applyBorder="1"/>
    <xf numFmtId="3" fontId="6" fillId="2" borderId="1" xfId="0" applyNumberFormat="1" applyFont="1" applyFill="1" applyBorder="1" applyAlignment="1" applyProtection="1">
      <alignment wrapText="1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12" xfId="0" applyFont="1" applyFill="1" applyBorder="1"/>
    <xf numFmtId="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/>
    <xf numFmtId="4" fontId="5" fillId="2" borderId="1" xfId="0" applyNumberFormat="1" applyFont="1" applyFill="1" applyBorder="1" applyAlignment="1" applyProtection="1">
      <alignment wrapText="1"/>
    </xf>
    <xf numFmtId="2" fontId="3" fillId="2" borderId="1" xfId="0" applyNumberFormat="1" applyFont="1" applyFill="1" applyBorder="1"/>
    <xf numFmtId="164" fontId="3" fillId="2" borderId="1" xfId="0" applyNumberFormat="1" applyFont="1" applyFill="1" applyBorder="1"/>
    <xf numFmtId="4" fontId="3" fillId="2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3" fontId="3" fillId="2" borderId="1" xfId="0" applyNumberFormat="1" applyFont="1" applyFill="1" applyBorder="1"/>
    <xf numFmtId="3" fontId="4" fillId="2" borderId="1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4" fontId="3" fillId="2" borderId="14" xfId="0" applyNumberFormat="1" applyFont="1" applyFill="1" applyBorder="1"/>
    <xf numFmtId="4" fontId="3" fillId="2" borderId="16" xfId="0" applyNumberFormat="1" applyFont="1" applyFill="1" applyBorder="1"/>
    <xf numFmtId="3" fontId="3" fillId="2" borderId="19" xfId="0" applyNumberFormat="1" applyFont="1" applyFill="1" applyBorder="1"/>
    <xf numFmtId="4" fontId="3" fillId="2" borderId="19" xfId="0" applyNumberFormat="1" applyFont="1" applyFill="1" applyBorder="1"/>
    <xf numFmtId="4" fontId="3" fillId="2" borderId="20" xfId="0" applyNumberFormat="1" applyFont="1" applyFill="1" applyBorder="1"/>
    <xf numFmtId="10" fontId="4" fillId="2" borderId="1" xfId="0" applyNumberFormat="1" applyFont="1" applyFill="1" applyBorder="1"/>
    <xf numFmtId="3" fontId="3" fillId="2" borderId="1" xfId="0" applyNumberFormat="1" applyFont="1" applyFill="1" applyBorder="1" applyAlignment="1" applyProtection="1">
      <alignment horizontal="center" wrapText="1"/>
    </xf>
    <xf numFmtId="164" fontId="6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2" fontId="3" fillId="2" borderId="21" xfId="0" applyNumberFormat="1" applyFont="1" applyFill="1" applyBorder="1"/>
    <xf numFmtId="10" fontId="3" fillId="2" borderId="22" xfId="0" applyNumberFormat="1" applyFont="1" applyFill="1" applyBorder="1"/>
    <xf numFmtId="4" fontId="3" fillId="2" borderId="22" xfId="0" applyNumberFormat="1" applyFont="1" applyFill="1" applyBorder="1"/>
    <xf numFmtId="4" fontId="3" fillId="2" borderId="21" xfId="0" applyNumberFormat="1" applyFont="1" applyFill="1" applyBorder="1"/>
    <xf numFmtId="3" fontId="3" fillId="2" borderId="23" xfId="0" applyNumberFormat="1" applyFont="1" applyFill="1" applyBorder="1"/>
    <xf numFmtId="3" fontId="3" fillId="2" borderId="24" xfId="0" applyNumberFormat="1" applyFont="1" applyFill="1" applyBorder="1"/>
    <xf numFmtId="2" fontId="3" fillId="2" borderId="25" xfId="0" applyNumberFormat="1" applyFont="1" applyFill="1" applyBorder="1"/>
    <xf numFmtId="2" fontId="3" fillId="2" borderId="26" xfId="0" applyNumberFormat="1" applyFont="1" applyFill="1" applyBorder="1"/>
    <xf numFmtId="10" fontId="3" fillId="2" borderId="27" xfId="0" applyNumberFormat="1" applyFont="1" applyFill="1" applyBorder="1"/>
    <xf numFmtId="4" fontId="3" fillId="2" borderId="28" xfId="0" applyNumberFormat="1" applyFont="1" applyFill="1" applyBorder="1"/>
    <xf numFmtId="4" fontId="3" fillId="2" borderId="29" xfId="0" applyNumberFormat="1" applyFont="1" applyFill="1" applyBorder="1"/>
    <xf numFmtId="2" fontId="3" fillId="2" borderId="29" xfId="0" applyNumberFormat="1" applyFont="1" applyFill="1" applyBorder="1"/>
    <xf numFmtId="3" fontId="3" fillId="2" borderId="30" xfId="0" applyNumberFormat="1" applyFont="1" applyFill="1" applyBorder="1"/>
    <xf numFmtId="3" fontId="5" fillId="2" borderId="1" xfId="0" applyNumberFormat="1" applyFont="1" applyFill="1" applyBorder="1"/>
    <xf numFmtId="3" fontId="6" fillId="2" borderId="1" xfId="0" applyNumberFormat="1" applyFont="1" applyFill="1" applyBorder="1"/>
    <xf numFmtId="4" fontId="5" fillId="2" borderId="31" xfId="0" applyNumberFormat="1" applyFont="1" applyFill="1" applyBorder="1"/>
    <xf numFmtId="4" fontId="5" fillId="2" borderId="32" xfId="0" applyNumberFormat="1" applyFont="1" applyFill="1" applyBorder="1"/>
    <xf numFmtId="4" fontId="5" fillId="2" borderId="7" xfId="0" applyNumberFormat="1" applyFont="1" applyFill="1" applyBorder="1"/>
    <xf numFmtId="3" fontId="5" fillId="2" borderId="10" xfId="0" applyNumberFormat="1" applyFont="1" applyFill="1" applyBorder="1"/>
    <xf numFmtId="4" fontId="5" fillId="2" borderId="0" xfId="0" applyNumberFormat="1" applyFont="1" applyFill="1"/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3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3" fontId="3" fillId="2" borderId="20" xfId="0" applyNumberFormat="1" applyFont="1" applyFill="1" applyBorder="1"/>
    <xf numFmtId="4" fontId="3" fillId="2" borderId="27" xfId="0" applyNumberFormat="1" applyFont="1" applyFill="1" applyBorder="1"/>
    <xf numFmtId="4" fontId="3" fillId="2" borderId="26" xfId="0" applyNumberFormat="1" applyFont="1" applyFill="1" applyBorder="1"/>
    <xf numFmtId="4" fontId="5" fillId="2" borderId="33" xfId="0" applyNumberFormat="1" applyFont="1" applyFill="1" applyBorder="1"/>
    <xf numFmtId="4" fontId="5" fillId="2" borderId="34" xfId="0" applyNumberFormat="1" applyFont="1" applyFill="1" applyBorder="1"/>
    <xf numFmtId="4" fontId="5" fillId="2" borderId="35" xfId="0" applyNumberFormat="1" applyFont="1" applyFill="1" applyBorder="1"/>
    <xf numFmtId="3" fontId="5" fillId="2" borderId="32" xfId="0" applyNumberFormat="1" applyFont="1" applyFill="1" applyBorder="1"/>
    <xf numFmtId="3" fontId="5" fillId="2" borderId="0" xfId="0" applyNumberFormat="1" applyFont="1" applyFill="1" applyBorder="1"/>
    <xf numFmtId="3" fontId="5" fillId="2" borderId="36" xfId="0" applyNumberFormat="1" applyFont="1" applyFill="1" applyBorder="1"/>
    <xf numFmtId="3" fontId="5" fillId="2" borderId="37" xfId="0" applyNumberFormat="1" applyFont="1" applyFill="1" applyBorder="1"/>
    <xf numFmtId="0" fontId="3" fillId="2" borderId="38" xfId="0" applyFont="1" applyFill="1" applyBorder="1"/>
    <xf numFmtId="4" fontId="3" fillId="2" borderId="23" xfId="0" applyNumberFormat="1" applyFont="1" applyFill="1" applyBorder="1"/>
    <xf numFmtId="4" fontId="3" fillId="2" borderId="24" xfId="0" applyNumberFormat="1" applyFont="1" applyFill="1" applyBorder="1"/>
    <xf numFmtId="4" fontId="3" fillId="2" borderId="30" xfId="0" applyNumberFormat="1" applyFont="1" applyFill="1" applyBorder="1"/>
    <xf numFmtId="3" fontId="5" fillId="2" borderId="35" xfId="0" applyNumberFormat="1" applyFont="1" applyFill="1" applyBorder="1"/>
    <xf numFmtId="4" fontId="5" fillId="2" borderId="10" xfId="0" applyNumberFormat="1" applyFont="1" applyFill="1" applyBorder="1"/>
    <xf numFmtId="0" fontId="3" fillId="2" borderId="39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" fontId="5" fillId="2" borderId="20" xfId="0" applyNumberFormat="1" applyFont="1" applyFill="1" applyBorder="1"/>
    <xf numFmtId="10" fontId="3" fillId="2" borderId="14" xfId="0" applyNumberFormat="1" applyFont="1" applyFill="1" applyBorder="1"/>
    <xf numFmtId="2" fontId="3" fillId="2" borderId="15" xfId="0" applyNumberFormat="1" applyFont="1" applyFill="1" applyBorder="1"/>
    <xf numFmtId="2" fontId="3" fillId="2" borderId="16" xfId="0" applyNumberFormat="1" applyFont="1" applyFill="1" applyBorder="1"/>
    <xf numFmtId="3" fontId="3" fillId="2" borderId="0" xfId="0" applyNumberFormat="1" applyFont="1" applyFill="1"/>
    <xf numFmtId="3" fontId="5" fillId="2" borderId="40" xfId="0" applyNumberFormat="1" applyFont="1" applyFill="1" applyBorder="1"/>
    <xf numFmtId="3" fontId="11" fillId="2" borderId="10" xfId="0" applyNumberFormat="1" applyFont="1" applyFill="1" applyBorder="1"/>
    <xf numFmtId="0" fontId="10" fillId="2" borderId="0" xfId="0" applyFont="1" applyFill="1"/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0" xfId="0" applyFont="1" applyFill="1"/>
    <xf numFmtId="0" fontId="9" fillId="2" borderId="0" xfId="0" applyFont="1" applyFill="1"/>
    <xf numFmtId="0" fontId="10" fillId="2" borderId="1" xfId="0" applyFont="1" applyFill="1" applyBorder="1" applyAlignment="1">
      <alignment horizontal="center" wrapText="1"/>
    </xf>
    <xf numFmtId="4" fontId="10" fillId="2" borderId="0" xfId="0" applyNumberFormat="1" applyFont="1" applyFill="1"/>
    <xf numFmtId="0" fontId="3" fillId="2" borderId="10" xfId="0" applyFont="1" applyFill="1" applyBorder="1"/>
    <xf numFmtId="0" fontId="5" fillId="2" borderId="2" xfId="0" applyFont="1" applyFill="1" applyBorder="1"/>
    <xf numFmtId="3" fontId="3" fillId="2" borderId="31" xfId="0" applyNumberFormat="1" applyFont="1" applyFill="1" applyBorder="1"/>
    <xf numFmtId="3" fontId="3" fillId="2" borderId="35" xfId="0" applyNumberFormat="1" applyFont="1" applyFill="1" applyBorder="1"/>
    <xf numFmtId="3" fontId="4" fillId="2" borderId="35" xfId="0" applyNumberFormat="1" applyFont="1" applyFill="1" applyBorder="1"/>
    <xf numFmtId="3" fontId="3" fillId="2" borderId="32" xfId="0" applyNumberFormat="1" applyFont="1" applyFill="1" applyBorder="1"/>
    <xf numFmtId="3" fontId="3" fillId="2" borderId="43" xfId="0" applyNumberFormat="1" applyFont="1" applyFill="1" applyBorder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9" fontId="6" fillId="2" borderId="31" xfId="1" applyFont="1" applyFill="1" applyBorder="1"/>
    <xf numFmtId="9" fontId="6" fillId="2" borderId="27" xfId="1" applyFont="1" applyFill="1" applyBorder="1"/>
    <xf numFmtId="3" fontId="3" fillId="2" borderId="26" xfId="0" applyNumberFormat="1" applyFont="1" applyFill="1" applyBorder="1"/>
    <xf numFmtId="3" fontId="3" fillId="2" borderId="1" xfId="0" applyNumberFormat="1" applyFont="1" applyFill="1" applyBorder="1" applyAlignment="1"/>
    <xf numFmtId="0" fontId="5" fillId="2" borderId="0" xfId="0" applyFont="1" applyFill="1" applyBorder="1"/>
    <xf numFmtId="9" fontId="6" fillId="2" borderId="33" xfId="1" applyFont="1" applyFill="1" applyBorder="1"/>
    <xf numFmtId="3" fontId="3" fillId="2" borderId="45" xfId="0" applyNumberFormat="1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36" xfId="0" applyFont="1" applyFill="1" applyBorder="1" applyAlignment="1">
      <alignment horizontal="center"/>
    </xf>
    <xf numFmtId="3" fontId="5" fillId="2" borderId="36" xfId="0" applyNumberFormat="1" applyFont="1" applyFill="1" applyBorder="1" applyAlignment="1"/>
    <xf numFmtId="0" fontId="5" fillId="2" borderId="31" xfId="0" applyFont="1" applyFill="1" applyBorder="1" applyAlignment="1">
      <alignment horizontal="center"/>
    </xf>
    <xf numFmtId="3" fontId="5" fillId="2" borderId="35" xfId="0" applyNumberFormat="1" applyFont="1" applyFill="1" applyBorder="1" applyAlignment="1"/>
    <xf numFmtId="3" fontId="5" fillId="2" borderId="46" xfId="0" applyNumberFormat="1" applyFont="1" applyFill="1" applyBorder="1"/>
    <xf numFmtId="3" fontId="5" fillId="2" borderId="10" xfId="0" applyNumberFormat="1" applyFont="1" applyFill="1" applyBorder="1" applyAlignment="1"/>
    <xf numFmtId="17" fontId="3" fillId="2" borderId="0" xfId="0" applyNumberFormat="1" applyFont="1" applyFill="1"/>
    <xf numFmtId="1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3" fontId="7" fillId="2" borderId="0" xfId="0" applyNumberFormat="1" applyFont="1" applyFill="1" applyAlignment="1">
      <alignment wrapText="1"/>
    </xf>
    <xf numFmtId="3" fontId="14" fillId="2" borderId="3" xfId="0" applyNumberFormat="1" applyFont="1" applyFill="1" applyBorder="1"/>
    <xf numFmtId="3" fontId="14" fillId="2" borderId="43" xfId="0" applyNumberFormat="1" applyFont="1" applyFill="1" applyBorder="1" applyAlignment="1"/>
    <xf numFmtId="0" fontId="15" fillId="2" borderId="0" xfId="0" applyFont="1" applyFill="1" applyBorder="1" applyAlignment="1">
      <alignment wrapText="1"/>
    </xf>
    <xf numFmtId="3" fontId="14" fillId="2" borderId="0" xfId="0" applyNumberFormat="1" applyFont="1" applyFill="1" applyBorder="1"/>
    <xf numFmtId="0" fontId="16" fillId="2" borderId="0" xfId="0" applyFont="1" applyFill="1"/>
    <xf numFmtId="3" fontId="17" fillId="2" borderId="1" xfId="0" applyNumberFormat="1" applyFont="1" applyFill="1" applyBorder="1" applyAlignment="1" applyProtection="1">
      <alignment horizontal="center" vertical="center" wrapText="1"/>
    </xf>
    <xf numFmtId="3" fontId="16" fillId="2" borderId="1" xfId="0" applyNumberFormat="1" applyFont="1" applyFill="1" applyBorder="1" applyAlignment="1" applyProtection="1">
      <alignment wrapText="1"/>
    </xf>
    <xf numFmtId="4" fontId="16" fillId="2" borderId="1" xfId="0" applyNumberFormat="1" applyFont="1" applyFill="1" applyBorder="1"/>
    <xf numFmtId="4" fontId="16" fillId="2" borderId="0" xfId="0" applyNumberFormat="1" applyFont="1" applyFill="1"/>
    <xf numFmtId="3" fontId="16" fillId="2" borderId="1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/>
    <xf numFmtId="0" fontId="18" fillId="2" borderId="0" xfId="0" applyFont="1" applyFill="1"/>
    <xf numFmtId="3" fontId="19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/>
    <xf numFmtId="165" fontId="18" fillId="2" borderId="1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7"/>
  <sheetViews>
    <sheetView tabSelected="1" topLeftCell="A41" workbookViewId="0">
      <selection activeCell="AX52" sqref="AX52"/>
    </sheetView>
  </sheetViews>
  <sheetFormatPr defaultRowHeight="15.75" x14ac:dyDescent="0.25"/>
  <cols>
    <col min="1" max="1" width="10.28515625" style="2" customWidth="1"/>
    <col min="2" max="2" width="9.85546875" style="2" bestFit="1" customWidth="1"/>
    <col min="3" max="3" width="10.5703125" style="2" customWidth="1"/>
    <col min="4" max="4" width="12.7109375" style="2" customWidth="1"/>
    <col min="5" max="5" width="10.5703125" style="3" customWidth="1"/>
    <col min="6" max="6" width="12.7109375" style="2" customWidth="1"/>
    <col min="7" max="7" width="10.5703125" style="4" bestFit="1" customWidth="1"/>
    <col min="8" max="8" width="12.7109375" style="2" bestFit="1" customWidth="1"/>
    <col min="9" max="9" width="10.5703125" style="2" customWidth="1"/>
    <col min="10" max="10" width="12.7109375" style="2" customWidth="1"/>
    <col min="11" max="11" width="12" style="2" customWidth="1"/>
    <col min="12" max="12" width="9.85546875" style="2" customWidth="1"/>
    <col min="13" max="13" width="10.28515625" style="4" customWidth="1"/>
    <col min="14" max="14" width="10.140625" style="5" customWidth="1"/>
    <col min="15" max="15" width="12" style="4" customWidth="1"/>
    <col min="16" max="16" width="12" style="155" customWidth="1"/>
    <col min="17" max="17" width="9.5703125" style="162" customWidth="1"/>
    <col min="18" max="18" width="3" style="2" hidden="1" customWidth="1"/>
    <col min="19" max="19" width="10" style="2" hidden="1" customWidth="1"/>
    <col min="20" max="20" width="15.5703125" style="2" hidden="1" customWidth="1"/>
    <col min="21" max="21" width="17.140625" style="4" hidden="1" customWidth="1"/>
    <col min="22" max="22" width="15.28515625" style="4" hidden="1" customWidth="1"/>
    <col min="23" max="23" width="16.7109375" style="4" hidden="1" customWidth="1"/>
    <col min="24" max="24" width="14.85546875" style="2" hidden="1" customWidth="1"/>
    <col min="25" max="25" width="17.140625" style="2" hidden="1" customWidth="1"/>
    <col min="26" max="26" width="3.7109375" style="2" hidden="1" customWidth="1"/>
    <col min="27" max="27" width="15.7109375" style="2" hidden="1" customWidth="1"/>
    <col min="28" max="28" width="19.42578125" style="2" hidden="1" customWidth="1"/>
    <col min="29" max="29" width="15.7109375" style="2" hidden="1" customWidth="1"/>
    <col min="30" max="30" width="16.28515625" style="2" hidden="1" customWidth="1"/>
    <col min="31" max="31" width="5.5703125" style="2" hidden="1" customWidth="1"/>
    <col min="32" max="37" width="10.28515625" style="2" hidden="1" customWidth="1"/>
    <col min="38" max="38" width="4.140625" style="2" hidden="1" customWidth="1"/>
    <col min="39" max="42" width="13" style="2" hidden="1" customWidth="1"/>
    <col min="43" max="43" width="14" style="2" hidden="1" customWidth="1"/>
    <col min="44" max="44" width="23.28515625" style="2" hidden="1" customWidth="1"/>
    <col min="45" max="45" width="22.42578125" style="2" hidden="1" customWidth="1"/>
    <col min="46" max="46" width="11.7109375" style="2" hidden="1" customWidth="1"/>
    <col min="47" max="47" width="13" style="2" hidden="1" customWidth="1"/>
    <col min="48" max="16384" width="9.140625" style="2"/>
  </cols>
  <sheetData>
    <row r="1" spans="1:45" ht="30.75" customHeight="1" x14ac:dyDescent="0.25">
      <c r="A1" s="1" t="s">
        <v>0</v>
      </c>
    </row>
    <row r="2" spans="1:45" ht="21" customHeight="1" thickBot="1" x14ac:dyDescent="0.3">
      <c r="A2" s="4"/>
    </row>
    <row r="3" spans="1:45" s="6" customFormat="1" ht="65.25" customHeight="1" thickBot="1" x14ac:dyDescent="0.3">
      <c r="A3" s="186" t="s">
        <v>1</v>
      </c>
      <c r="B3" s="186"/>
      <c r="C3" s="186"/>
      <c r="D3" s="187" t="s">
        <v>2</v>
      </c>
      <c r="E3" s="187"/>
      <c r="F3" s="187"/>
      <c r="G3" s="187"/>
      <c r="H3" s="187" t="s">
        <v>3</v>
      </c>
      <c r="I3" s="187"/>
      <c r="J3" s="187"/>
      <c r="K3" s="187"/>
      <c r="L3" s="187"/>
      <c r="M3" s="187" t="s">
        <v>4</v>
      </c>
      <c r="N3" s="187"/>
      <c r="O3" s="187"/>
      <c r="P3" s="187"/>
      <c r="Q3" s="187"/>
      <c r="T3" s="177" t="s">
        <v>5</v>
      </c>
      <c r="U3" s="179"/>
      <c r="V3" s="177" t="s">
        <v>6</v>
      </c>
      <c r="W3" s="179"/>
      <c r="X3" s="177" t="s">
        <v>7</v>
      </c>
      <c r="Y3" s="179"/>
      <c r="AA3" s="177" t="s">
        <v>6</v>
      </c>
      <c r="AB3" s="179"/>
      <c r="AC3" s="177" t="s">
        <v>7</v>
      </c>
      <c r="AD3" s="179"/>
      <c r="AF3" s="188" t="s">
        <v>8</v>
      </c>
      <c r="AG3" s="189"/>
      <c r="AH3" s="190"/>
      <c r="AI3" s="188" t="s">
        <v>9</v>
      </c>
      <c r="AJ3" s="189"/>
      <c r="AK3" s="190"/>
      <c r="AM3" s="191" t="s">
        <v>10</v>
      </c>
      <c r="AN3" s="192"/>
      <c r="AO3" s="191" t="s">
        <v>11</v>
      </c>
      <c r="AP3" s="193"/>
      <c r="AQ3" s="194" t="s">
        <v>12</v>
      </c>
      <c r="AR3" s="7" t="s">
        <v>13</v>
      </c>
      <c r="AS3" s="8" t="s">
        <v>14</v>
      </c>
    </row>
    <row r="4" spans="1:45" s="15" customFormat="1" ht="119.25" customHeight="1" thickBot="1" x14ac:dyDescent="0.3">
      <c r="A4" s="9"/>
      <c r="B4" s="10" t="s">
        <v>15</v>
      </c>
      <c r="C4" s="10" t="s">
        <v>16</v>
      </c>
      <c r="D4" s="10" t="s">
        <v>17</v>
      </c>
      <c r="E4" s="11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10" t="s">
        <v>24</v>
      </c>
      <c r="L4" s="12" t="s">
        <v>25</v>
      </c>
      <c r="M4" s="10" t="s">
        <v>88</v>
      </c>
      <c r="N4" s="11" t="s">
        <v>89</v>
      </c>
      <c r="O4" s="10" t="s">
        <v>90</v>
      </c>
      <c r="P4" s="156" t="s">
        <v>91</v>
      </c>
      <c r="Q4" s="163" t="s">
        <v>92</v>
      </c>
      <c r="R4" s="10"/>
      <c r="S4" s="13" t="s">
        <v>26</v>
      </c>
      <c r="T4" s="14" t="s">
        <v>27</v>
      </c>
      <c r="U4" s="14" t="s">
        <v>28</v>
      </c>
      <c r="V4" s="14" t="s">
        <v>29</v>
      </c>
      <c r="W4" s="14" t="s">
        <v>30</v>
      </c>
      <c r="X4" s="14" t="s">
        <v>31</v>
      </c>
      <c r="Y4" s="14" t="s">
        <v>32</v>
      </c>
      <c r="AA4" s="14" t="s">
        <v>29</v>
      </c>
      <c r="AB4" s="14" t="s">
        <v>30</v>
      </c>
      <c r="AC4" s="14" t="s">
        <v>31</v>
      </c>
      <c r="AD4" s="14" t="s">
        <v>32</v>
      </c>
      <c r="AF4" s="16" t="s">
        <v>33</v>
      </c>
      <c r="AG4" s="17" t="s">
        <v>34</v>
      </c>
      <c r="AH4" s="17" t="s">
        <v>35</v>
      </c>
      <c r="AI4" s="16" t="s">
        <v>36</v>
      </c>
      <c r="AJ4" s="17" t="s">
        <v>34</v>
      </c>
      <c r="AK4" s="17" t="s">
        <v>35</v>
      </c>
      <c r="AM4" s="18" t="s">
        <v>35</v>
      </c>
      <c r="AN4" s="19" t="s">
        <v>37</v>
      </c>
      <c r="AO4" s="18" t="s">
        <v>35</v>
      </c>
      <c r="AP4" s="19" t="s">
        <v>37</v>
      </c>
      <c r="AQ4" s="195"/>
      <c r="AR4" s="20" t="s">
        <v>38</v>
      </c>
      <c r="AS4" s="20" t="s">
        <v>38</v>
      </c>
    </row>
    <row r="5" spans="1:45" s="15" customFormat="1" ht="21" customHeight="1" x14ac:dyDescent="0.25">
      <c r="A5" s="9"/>
      <c r="B5" s="10">
        <v>1</v>
      </c>
      <c r="C5" s="10">
        <v>2</v>
      </c>
      <c r="D5" s="10">
        <v>3</v>
      </c>
      <c r="E5" s="11">
        <v>4</v>
      </c>
      <c r="F5" s="10" t="s">
        <v>39</v>
      </c>
      <c r="G5" s="10" t="s">
        <v>40</v>
      </c>
      <c r="H5" s="10">
        <v>7</v>
      </c>
      <c r="I5" s="10">
        <v>8</v>
      </c>
      <c r="J5" s="10" t="s">
        <v>41</v>
      </c>
      <c r="K5" s="10" t="s">
        <v>42</v>
      </c>
      <c r="L5" s="10" t="s">
        <v>43</v>
      </c>
      <c r="M5" s="10">
        <v>12</v>
      </c>
      <c r="N5" s="11">
        <v>13</v>
      </c>
      <c r="O5" s="10">
        <v>14</v>
      </c>
      <c r="P5" s="156">
        <v>15</v>
      </c>
      <c r="Q5" s="156" t="s">
        <v>44</v>
      </c>
      <c r="R5" s="21"/>
      <c r="S5" s="21">
        <v>17</v>
      </c>
      <c r="T5" s="21" t="s">
        <v>45</v>
      </c>
      <c r="U5" s="21">
        <v>19</v>
      </c>
      <c r="V5" s="21" t="s">
        <v>46</v>
      </c>
      <c r="W5" s="21">
        <v>21</v>
      </c>
      <c r="X5" s="21" t="s">
        <v>47</v>
      </c>
      <c r="Y5" s="21">
        <v>23</v>
      </c>
      <c r="Z5" s="21"/>
      <c r="AA5" s="21" t="s">
        <v>48</v>
      </c>
      <c r="AB5" s="21">
        <v>25</v>
      </c>
      <c r="AC5" s="21" t="s">
        <v>49</v>
      </c>
      <c r="AD5" s="21">
        <v>27</v>
      </c>
      <c r="AE5" s="21"/>
      <c r="AF5" s="21">
        <v>28</v>
      </c>
      <c r="AG5" s="21">
        <v>29</v>
      </c>
      <c r="AH5" s="21">
        <v>30</v>
      </c>
      <c r="AI5" s="21">
        <v>31</v>
      </c>
      <c r="AJ5" s="21">
        <v>32</v>
      </c>
      <c r="AK5" s="21">
        <v>33</v>
      </c>
      <c r="AM5" s="21" t="s">
        <v>50</v>
      </c>
      <c r="AN5" s="21" t="s">
        <v>51</v>
      </c>
      <c r="AO5" s="21" t="s">
        <v>52</v>
      </c>
      <c r="AP5" s="21" t="s">
        <v>53</v>
      </c>
      <c r="AQ5" s="21">
        <v>38</v>
      </c>
      <c r="AR5" s="21" t="s">
        <v>54</v>
      </c>
      <c r="AS5" s="21" t="s">
        <v>55</v>
      </c>
    </row>
    <row r="6" spans="1:45" ht="16.5" customHeight="1" thickBot="1" x14ac:dyDescent="0.3">
      <c r="A6" s="22"/>
      <c r="B6" s="22"/>
      <c r="C6" s="22"/>
      <c r="D6" s="23">
        <v>576</v>
      </c>
      <c r="E6" s="24"/>
      <c r="F6" s="25"/>
      <c r="G6" s="23"/>
      <c r="H6" s="23">
        <f>ROUND(D6*1.27,0)</f>
        <v>732</v>
      </c>
      <c r="I6" s="22"/>
      <c r="J6" s="22"/>
      <c r="K6" s="26"/>
      <c r="L6" s="26"/>
      <c r="M6" s="23">
        <f>+H6</f>
        <v>732</v>
      </c>
      <c r="N6" s="27"/>
      <c r="O6" s="23"/>
      <c r="P6" s="157"/>
      <c r="Q6" s="164"/>
      <c r="R6" s="28"/>
      <c r="S6" s="29">
        <f>4430+70</f>
        <v>4500</v>
      </c>
      <c r="T6" s="30"/>
      <c r="U6" s="31"/>
      <c r="V6" s="31"/>
      <c r="W6" s="31"/>
      <c r="X6" s="30"/>
      <c r="AA6" s="31"/>
      <c r="AB6" s="31"/>
      <c r="AC6" s="30"/>
      <c r="AD6" s="3"/>
      <c r="AF6" s="32"/>
      <c r="AG6" s="28"/>
      <c r="AH6" s="28"/>
      <c r="AI6" s="32"/>
      <c r="AJ6" s="28"/>
      <c r="AK6" s="28"/>
      <c r="AM6" s="185"/>
      <c r="AN6" s="185"/>
      <c r="AO6" s="185"/>
      <c r="AP6" s="185"/>
      <c r="AQ6" s="185"/>
      <c r="AR6" s="185"/>
      <c r="AS6" s="185"/>
    </row>
    <row r="7" spans="1:45" ht="15" customHeight="1" x14ac:dyDescent="0.25">
      <c r="A7" s="22" t="s">
        <v>56</v>
      </c>
      <c r="B7" s="33">
        <v>0</v>
      </c>
      <c r="C7" s="34">
        <v>0.03</v>
      </c>
      <c r="D7" s="22"/>
      <c r="E7" s="35"/>
      <c r="F7" s="22"/>
      <c r="G7" s="36"/>
      <c r="H7" s="37"/>
      <c r="I7" s="38"/>
      <c r="J7" s="39"/>
      <c r="K7" s="36"/>
      <c r="L7" s="36"/>
      <c r="M7" s="40"/>
      <c r="N7" s="41"/>
      <c r="O7" s="40"/>
      <c r="P7" s="158"/>
      <c r="Q7" s="164"/>
      <c r="R7" s="28"/>
      <c r="S7" s="29">
        <f>ROUND($S$6*C7,0)+2</f>
        <v>137</v>
      </c>
      <c r="T7" s="29"/>
      <c r="U7" s="29"/>
      <c r="V7" s="29"/>
      <c r="W7" s="29"/>
      <c r="X7" s="42"/>
      <c r="Y7" s="42"/>
      <c r="AA7" s="29"/>
      <c r="AB7" s="29"/>
      <c r="AC7" s="42"/>
      <c r="AD7" s="43"/>
      <c r="AF7" s="44"/>
      <c r="AG7" s="45"/>
      <c r="AH7" s="46"/>
      <c r="AI7" s="44"/>
      <c r="AJ7" s="47"/>
      <c r="AK7" s="48"/>
      <c r="AM7" s="49"/>
      <c r="AN7" s="50"/>
      <c r="AO7" s="44"/>
      <c r="AP7" s="46"/>
      <c r="AQ7" s="51"/>
      <c r="AR7" s="52"/>
      <c r="AS7" s="53"/>
    </row>
    <row r="8" spans="1:45" x14ac:dyDescent="0.25">
      <c r="A8" s="22" t="s">
        <v>57</v>
      </c>
      <c r="B8" s="33">
        <v>0.1</v>
      </c>
      <c r="C8" s="34">
        <v>0.13900000000000001</v>
      </c>
      <c r="D8" s="37">
        <f>ROUND(B8*$D$6,2)</f>
        <v>57.6</v>
      </c>
      <c r="E8" s="54">
        <v>0.23499999999999999</v>
      </c>
      <c r="F8" s="37">
        <f>ROUND(E8*D8,2)</f>
        <v>13.54</v>
      </c>
      <c r="G8" s="36">
        <f t="shared" ref="G8:G15" si="0">+D8-F8</f>
        <v>44.06</v>
      </c>
      <c r="H8" s="37">
        <f t="shared" ref="H8:H15" si="1">+ROUND($H$6*B8,2)</f>
        <v>73.2</v>
      </c>
      <c r="I8" s="38">
        <f t="shared" ref="I8:I15" si="2">+E8</f>
        <v>0.23499999999999999</v>
      </c>
      <c r="J8" s="39">
        <f t="shared" ref="J8:J15" si="3">+I8*H8</f>
        <v>17.201999999999998</v>
      </c>
      <c r="K8" s="36">
        <f>H8-J8</f>
        <v>55.998000000000005</v>
      </c>
      <c r="L8" s="55">
        <f>+K8/G8*100</f>
        <v>127.09487063095779</v>
      </c>
      <c r="M8" s="37">
        <f>+H8</f>
        <v>73.2</v>
      </c>
      <c r="N8" s="56">
        <v>0.309</v>
      </c>
      <c r="O8" s="37">
        <f t="shared" ref="O8:O15" si="4">ROUND(N8*M8,2)</f>
        <v>22.62</v>
      </c>
      <c r="P8" s="158">
        <f t="shared" ref="P8:P15" si="5">M8-O8</f>
        <v>50.58</v>
      </c>
      <c r="Q8" s="165">
        <f t="shared" ref="Q8:Q15" si="6">+P8/G8*100</f>
        <v>114.79800272355878</v>
      </c>
      <c r="R8" s="28"/>
      <c r="S8" s="29">
        <f t="shared" ref="S8:S15" si="7">ROUND($S$6*C8,0)</f>
        <v>626</v>
      </c>
      <c r="T8" s="57">
        <f t="shared" ref="T8:T15" si="8">S8*G8</f>
        <v>27581.56</v>
      </c>
      <c r="U8" s="42">
        <f t="shared" ref="U8:U15" si="9">+S8*G8*12</f>
        <v>330978.72000000003</v>
      </c>
      <c r="V8" s="42">
        <f t="shared" ref="V8:V15" si="10">S8*K8</f>
        <v>35054.748</v>
      </c>
      <c r="W8" s="42">
        <f t="shared" ref="W8:W15" si="11">S8*K8*12</f>
        <v>420656.97600000002</v>
      </c>
      <c r="X8" s="42">
        <f t="shared" ref="X8:X15" si="12">P8*S8</f>
        <v>31663.079999999998</v>
      </c>
      <c r="Y8" s="42">
        <f>X8*12</f>
        <v>379956.95999999996</v>
      </c>
      <c r="AA8" s="42">
        <f t="shared" ref="AA8:AA15" si="13">V8-T8</f>
        <v>7473.1879999999983</v>
      </c>
      <c r="AB8" s="42">
        <f>AA8*12</f>
        <v>89678.255999999979</v>
      </c>
      <c r="AC8" s="42">
        <f t="shared" ref="AC8:AC15" si="14">X8-T8</f>
        <v>4081.5199999999968</v>
      </c>
      <c r="AD8" s="43">
        <f>AC8*12</f>
        <v>48978.239999999962</v>
      </c>
      <c r="AF8" s="38">
        <f>+N8</f>
        <v>0.309</v>
      </c>
      <c r="AG8" s="37">
        <f t="shared" ref="AG8:AG15" si="15">H8*AF8</f>
        <v>22.6188</v>
      </c>
      <c r="AH8" s="58">
        <f t="shared" ref="AH8:AH15" si="16">H8-AG8</f>
        <v>50.581200000000003</v>
      </c>
      <c r="AI8" s="59">
        <v>0.23499999999999999</v>
      </c>
      <c r="AJ8" s="37">
        <f t="shared" ref="AJ8:AJ15" si="17">K8*AI8</f>
        <v>13.15953</v>
      </c>
      <c r="AK8" s="58">
        <f t="shared" ref="AK8:AK15" si="18">K8-AJ8</f>
        <v>42.838470000000001</v>
      </c>
      <c r="AM8" s="60">
        <f t="shared" ref="AM8:AM15" si="19">G8*0.3</f>
        <v>13.218</v>
      </c>
      <c r="AN8" s="61">
        <f t="shared" ref="AN8:AN15" si="20">D8-AM8</f>
        <v>44.382000000000005</v>
      </c>
      <c r="AO8" s="60">
        <f t="shared" ref="AO8:AO15" si="21">P8*0.3</f>
        <v>15.173999999999999</v>
      </c>
      <c r="AP8" s="58">
        <f t="shared" ref="AP8:AP15" si="22">M8-AO8</f>
        <v>58.026000000000003</v>
      </c>
      <c r="AQ8" s="62">
        <f>588*0.47</f>
        <v>276.35999999999996</v>
      </c>
      <c r="AR8" s="62">
        <f>AQ8*AN8</f>
        <v>12265.409519999999</v>
      </c>
      <c r="AS8" s="63">
        <f>AQ8*AP8</f>
        <v>16036.065359999999</v>
      </c>
    </row>
    <row r="9" spans="1:45" x14ac:dyDescent="0.25">
      <c r="A9" s="22" t="s">
        <v>58</v>
      </c>
      <c r="B9" s="33">
        <v>0.2</v>
      </c>
      <c r="C9" s="34">
        <v>0.08</v>
      </c>
      <c r="D9" s="37">
        <f t="shared" ref="D9:D15" si="23">ROUND(B9*$D$6,2)</f>
        <v>115.2</v>
      </c>
      <c r="E9" s="54">
        <v>0.23499999999999999</v>
      </c>
      <c r="F9" s="37">
        <f t="shared" ref="F9:F15" si="24">ROUND(E9*D9,2)</f>
        <v>27.07</v>
      </c>
      <c r="G9" s="36">
        <f t="shared" si="0"/>
        <v>88.13</v>
      </c>
      <c r="H9" s="37">
        <f t="shared" si="1"/>
        <v>146.4</v>
      </c>
      <c r="I9" s="38">
        <f t="shared" si="2"/>
        <v>0.23499999999999999</v>
      </c>
      <c r="J9" s="39">
        <f t="shared" si="3"/>
        <v>34.403999999999996</v>
      </c>
      <c r="K9" s="36">
        <f t="shared" ref="K9:K15" si="25">H9-J9</f>
        <v>111.99600000000001</v>
      </c>
      <c r="L9" s="55">
        <f t="shared" ref="L9:L15" si="26">+K9/G9*100</f>
        <v>127.08044933620791</v>
      </c>
      <c r="M9" s="37">
        <f t="shared" ref="M9:M15" si="27">+H9</f>
        <v>146.4</v>
      </c>
      <c r="N9" s="56">
        <v>0.309</v>
      </c>
      <c r="O9" s="37">
        <f t="shared" si="4"/>
        <v>45.24</v>
      </c>
      <c r="P9" s="158">
        <f t="shared" si="5"/>
        <v>101.16</v>
      </c>
      <c r="Q9" s="165">
        <f t="shared" si="6"/>
        <v>114.78497673890844</v>
      </c>
      <c r="R9" s="28"/>
      <c r="S9" s="29">
        <f t="shared" si="7"/>
        <v>360</v>
      </c>
      <c r="T9" s="57">
        <f t="shared" si="8"/>
        <v>31726.799999999999</v>
      </c>
      <c r="U9" s="42">
        <f t="shared" si="9"/>
        <v>380721.6</v>
      </c>
      <c r="V9" s="42">
        <f t="shared" si="10"/>
        <v>40318.560000000005</v>
      </c>
      <c r="W9" s="42">
        <f t="shared" si="11"/>
        <v>483822.72000000009</v>
      </c>
      <c r="X9" s="42">
        <f t="shared" si="12"/>
        <v>36417.599999999999</v>
      </c>
      <c r="Y9" s="42">
        <f t="shared" ref="Y9:Y15" si="28">X9*12</f>
        <v>437011.19999999995</v>
      </c>
      <c r="AA9" s="42">
        <f t="shared" si="13"/>
        <v>8591.7600000000057</v>
      </c>
      <c r="AB9" s="42">
        <f t="shared" ref="AB9:AB15" si="29">AA9*12</f>
        <v>103101.12000000007</v>
      </c>
      <c r="AC9" s="42">
        <f t="shared" si="14"/>
        <v>4690.7999999999993</v>
      </c>
      <c r="AD9" s="43">
        <f t="shared" ref="AD9:AD15" si="30">AC9*12</f>
        <v>56289.599999999991</v>
      </c>
      <c r="AF9" s="38">
        <f t="shared" ref="AF9:AF15" si="31">+N9</f>
        <v>0.309</v>
      </c>
      <c r="AG9" s="37">
        <f t="shared" si="15"/>
        <v>45.2376</v>
      </c>
      <c r="AH9" s="58">
        <f t="shared" si="16"/>
        <v>101.16240000000001</v>
      </c>
      <c r="AI9" s="59">
        <v>0.23499999999999999</v>
      </c>
      <c r="AJ9" s="37">
        <f t="shared" si="17"/>
        <v>26.31906</v>
      </c>
      <c r="AK9" s="58">
        <f t="shared" si="18"/>
        <v>85.676940000000002</v>
      </c>
      <c r="AM9" s="60">
        <f t="shared" si="19"/>
        <v>26.438999999999997</v>
      </c>
      <c r="AN9" s="61">
        <f t="shared" si="20"/>
        <v>88.76100000000001</v>
      </c>
      <c r="AO9" s="60">
        <f t="shared" si="21"/>
        <v>30.347999999999999</v>
      </c>
      <c r="AP9" s="58">
        <f t="shared" si="22"/>
        <v>116.05200000000001</v>
      </c>
      <c r="AQ9" s="62">
        <f t="shared" ref="AQ9:AQ15" si="32">588*0.47</f>
        <v>276.35999999999996</v>
      </c>
      <c r="AR9" s="62">
        <f t="shared" ref="AR9:AR15" si="33">AQ9*AN9</f>
        <v>24529.989959999999</v>
      </c>
      <c r="AS9" s="63">
        <f t="shared" ref="AS9:AS15" si="34">AQ9*AP9</f>
        <v>32072.130719999997</v>
      </c>
    </row>
    <row r="10" spans="1:45" x14ac:dyDescent="0.25">
      <c r="A10" s="22" t="s">
        <v>59</v>
      </c>
      <c r="B10" s="33">
        <v>0.3</v>
      </c>
      <c r="C10" s="34">
        <v>9.2999999999999999E-2</v>
      </c>
      <c r="D10" s="37">
        <f t="shared" si="23"/>
        <v>172.8</v>
      </c>
      <c r="E10" s="54">
        <v>0.23499999999999999</v>
      </c>
      <c r="F10" s="37">
        <f t="shared" si="24"/>
        <v>40.61</v>
      </c>
      <c r="G10" s="36">
        <f t="shared" si="0"/>
        <v>132.19</v>
      </c>
      <c r="H10" s="37">
        <f t="shared" si="1"/>
        <v>219.6</v>
      </c>
      <c r="I10" s="38">
        <f t="shared" si="2"/>
        <v>0.23499999999999999</v>
      </c>
      <c r="J10" s="39">
        <f t="shared" si="3"/>
        <v>51.605999999999995</v>
      </c>
      <c r="K10" s="36">
        <f t="shared" si="25"/>
        <v>167.994</v>
      </c>
      <c r="L10" s="55">
        <f t="shared" si="26"/>
        <v>127.08525607080719</v>
      </c>
      <c r="M10" s="37">
        <f t="shared" si="27"/>
        <v>219.6</v>
      </c>
      <c r="N10" s="56">
        <v>0.309</v>
      </c>
      <c r="O10" s="37">
        <f t="shared" si="4"/>
        <v>67.86</v>
      </c>
      <c r="P10" s="158">
        <f t="shared" si="5"/>
        <v>151.74</v>
      </c>
      <c r="Q10" s="165">
        <f t="shared" si="6"/>
        <v>114.78931840532567</v>
      </c>
      <c r="R10" s="28"/>
      <c r="S10" s="29">
        <f t="shared" si="7"/>
        <v>419</v>
      </c>
      <c r="T10" s="57">
        <f t="shared" si="8"/>
        <v>55387.61</v>
      </c>
      <c r="U10" s="42">
        <f t="shared" si="9"/>
        <v>664651.32000000007</v>
      </c>
      <c r="V10" s="42">
        <f t="shared" si="10"/>
        <v>70389.486000000004</v>
      </c>
      <c r="W10" s="42">
        <f t="shared" si="11"/>
        <v>844673.83200000005</v>
      </c>
      <c r="X10" s="42">
        <f t="shared" si="12"/>
        <v>63579.060000000005</v>
      </c>
      <c r="Y10" s="42">
        <f t="shared" si="28"/>
        <v>762948.72000000009</v>
      </c>
      <c r="AA10" s="42">
        <f t="shared" si="13"/>
        <v>15001.876000000004</v>
      </c>
      <c r="AB10" s="42">
        <f t="shared" si="29"/>
        <v>180022.51200000005</v>
      </c>
      <c r="AC10" s="42">
        <f t="shared" si="14"/>
        <v>8191.4500000000044</v>
      </c>
      <c r="AD10" s="43">
        <f t="shared" si="30"/>
        <v>98297.400000000052</v>
      </c>
      <c r="AF10" s="38">
        <f t="shared" si="31"/>
        <v>0.309</v>
      </c>
      <c r="AG10" s="37">
        <f t="shared" si="15"/>
        <v>67.856399999999994</v>
      </c>
      <c r="AH10" s="58">
        <f t="shared" si="16"/>
        <v>151.74360000000001</v>
      </c>
      <c r="AI10" s="59">
        <v>0.23499999999999999</v>
      </c>
      <c r="AJ10" s="37">
        <f t="shared" si="17"/>
        <v>39.478589999999997</v>
      </c>
      <c r="AK10" s="58">
        <f t="shared" si="18"/>
        <v>128.51541</v>
      </c>
      <c r="AM10" s="60">
        <f t="shared" si="19"/>
        <v>39.656999999999996</v>
      </c>
      <c r="AN10" s="61">
        <f t="shared" si="20"/>
        <v>133.14300000000003</v>
      </c>
      <c r="AO10" s="60">
        <f t="shared" si="21"/>
        <v>45.521999999999998</v>
      </c>
      <c r="AP10" s="58">
        <f t="shared" si="22"/>
        <v>174.078</v>
      </c>
      <c r="AQ10" s="62">
        <f t="shared" si="32"/>
        <v>276.35999999999996</v>
      </c>
      <c r="AR10" s="62">
        <f t="shared" si="33"/>
        <v>36795.39948</v>
      </c>
      <c r="AS10" s="63">
        <f t="shared" si="34"/>
        <v>48108.196079999994</v>
      </c>
    </row>
    <row r="11" spans="1:45" x14ac:dyDescent="0.25">
      <c r="A11" s="22" t="s">
        <v>60</v>
      </c>
      <c r="B11" s="33">
        <v>0.35</v>
      </c>
      <c r="C11" s="34">
        <v>0.157</v>
      </c>
      <c r="D11" s="37">
        <f t="shared" si="23"/>
        <v>201.6</v>
      </c>
      <c r="E11" s="54">
        <v>0.17499999999999999</v>
      </c>
      <c r="F11" s="37">
        <f t="shared" si="24"/>
        <v>35.28</v>
      </c>
      <c r="G11" s="36">
        <f t="shared" si="0"/>
        <v>166.32</v>
      </c>
      <c r="H11" s="37">
        <f t="shared" si="1"/>
        <v>256.2</v>
      </c>
      <c r="I11" s="38">
        <f t="shared" si="2"/>
        <v>0.17499999999999999</v>
      </c>
      <c r="J11" s="39">
        <f t="shared" si="3"/>
        <v>44.834999999999994</v>
      </c>
      <c r="K11" s="36">
        <f t="shared" si="25"/>
        <v>211.36500000000001</v>
      </c>
      <c r="L11" s="55">
        <f t="shared" si="26"/>
        <v>127.08333333333334</v>
      </c>
      <c r="M11" s="37">
        <f t="shared" si="27"/>
        <v>256.2</v>
      </c>
      <c r="N11" s="56">
        <v>0.255</v>
      </c>
      <c r="O11" s="37">
        <f t="shared" si="4"/>
        <v>65.33</v>
      </c>
      <c r="P11" s="158">
        <f t="shared" si="5"/>
        <v>190.87</v>
      </c>
      <c r="Q11" s="165">
        <f t="shared" si="6"/>
        <v>114.76070226070227</v>
      </c>
      <c r="R11" s="28"/>
      <c r="S11" s="29">
        <f t="shared" si="7"/>
        <v>707</v>
      </c>
      <c r="T11" s="57">
        <f t="shared" si="8"/>
        <v>117588.23999999999</v>
      </c>
      <c r="U11" s="42">
        <f t="shared" si="9"/>
        <v>1411058.88</v>
      </c>
      <c r="V11" s="42">
        <f t="shared" si="10"/>
        <v>149435.05499999999</v>
      </c>
      <c r="W11" s="42">
        <f t="shared" si="11"/>
        <v>1793220.66</v>
      </c>
      <c r="X11" s="42">
        <f t="shared" si="12"/>
        <v>134945.09</v>
      </c>
      <c r="Y11" s="42">
        <f t="shared" si="28"/>
        <v>1619341.08</v>
      </c>
      <c r="AA11" s="42">
        <f t="shared" si="13"/>
        <v>31846.815000000002</v>
      </c>
      <c r="AB11" s="42">
        <f t="shared" si="29"/>
        <v>382161.78</v>
      </c>
      <c r="AC11" s="42">
        <f t="shared" si="14"/>
        <v>17356.850000000006</v>
      </c>
      <c r="AD11" s="43">
        <f t="shared" si="30"/>
        <v>208282.20000000007</v>
      </c>
      <c r="AF11" s="38">
        <f t="shared" si="31"/>
        <v>0.255</v>
      </c>
      <c r="AG11" s="37">
        <f t="shared" si="15"/>
        <v>65.331000000000003</v>
      </c>
      <c r="AH11" s="58">
        <f t="shared" si="16"/>
        <v>190.86899999999997</v>
      </c>
      <c r="AI11" s="59">
        <v>0.17499999999999999</v>
      </c>
      <c r="AJ11" s="37">
        <f t="shared" si="17"/>
        <v>36.988875</v>
      </c>
      <c r="AK11" s="58">
        <f t="shared" si="18"/>
        <v>174.376125</v>
      </c>
      <c r="AM11" s="60">
        <f t="shared" si="19"/>
        <v>49.895999999999994</v>
      </c>
      <c r="AN11" s="61">
        <f t="shared" si="20"/>
        <v>151.70400000000001</v>
      </c>
      <c r="AO11" s="60">
        <f t="shared" si="21"/>
        <v>57.261000000000003</v>
      </c>
      <c r="AP11" s="58">
        <f t="shared" si="22"/>
        <v>198.93899999999999</v>
      </c>
      <c r="AQ11" s="62">
        <f t="shared" si="32"/>
        <v>276.35999999999996</v>
      </c>
      <c r="AR11" s="62">
        <f t="shared" si="33"/>
        <v>41924.917439999997</v>
      </c>
      <c r="AS11" s="63">
        <f t="shared" si="34"/>
        <v>54978.782039999991</v>
      </c>
    </row>
    <row r="12" spans="1:45" x14ac:dyDescent="0.25">
      <c r="A12" s="22" t="s">
        <v>61</v>
      </c>
      <c r="B12" s="33">
        <v>0.43</v>
      </c>
      <c r="C12" s="34">
        <v>0.13600000000000001</v>
      </c>
      <c r="D12" s="37">
        <f t="shared" si="23"/>
        <v>247.68</v>
      </c>
      <c r="E12" s="54">
        <v>0.17499999999999999</v>
      </c>
      <c r="F12" s="37">
        <f t="shared" si="24"/>
        <v>43.34</v>
      </c>
      <c r="G12" s="36">
        <f t="shared" si="0"/>
        <v>204.34</v>
      </c>
      <c r="H12" s="37">
        <f t="shared" si="1"/>
        <v>314.76</v>
      </c>
      <c r="I12" s="38">
        <f t="shared" si="2"/>
        <v>0.17499999999999999</v>
      </c>
      <c r="J12" s="39">
        <f t="shared" si="3"/>
        <v>55.082999999999998</v>
      </c>
      <c r="K12" s="36">
        <f t="shared" si="25"/>
        <v>259.67700000000002</v>
      </c>
      <c r="L12" s="55">
        <f t="shared" si="26"/>
        <v>127.08084564940785</v>
      </c>
      <c r="M12" s="37">
        <f t="shared" si="27"/>
        <v>314.76</v>
      </c>
      <c r="N12" s="56">
        <v>0.255</v>
      </c>
      <c r="O12" s="37">
        <f t="shared" si="4"/>
        <v>80.260000000000005</v>
      </c>
      <c r="P12" s="158">
        <f t="shared" si="5"/>
        <v>234.5</v>
      </c>
      <c r="Q12" s="165">
        <f t="shared" si="6"/>
        <v>114.7597142018205</v>
      </c>
      <c r="R12" s="28"/>
      <c r="S12" s="29">
        <f t="shared" si="7"/>
        <v>612</v>
      </c>
      <c r="T12" s="57">
        <f t="shared" si="8"/>
        <v>125056.08</v>
      </c>
      <c r="U12" s="42">
        <f t="shared" si="9"/>
        <v>1500672.96</v>
      </c>
      <c r="V12" s="42">
        <f t="shared" si="10"/>
        <v>158922.32400000002</v>
      </c>
      <c r="W12" s="42">
        <f t="shared" si="11"/>
        <v>1907067.8880000003</v>
      </c>
      <c r="X12" s="42">
        <f t="shared" si="12"/>
        <v>143514</v>
      </c>
      <c r="Y12" s="42">
        <f t="shared" si="28"/>
        <v>1722168</v>
      </c>
      <c r="AA12" s="42">
        <f t="shared" si="13"/>
        <v>33866.244000000021</v>
      </c>
      <c r="AB12" s="42">
        <f t="shared" si="29"/>
        <v>406394.92800000025</v>
      </c>
      <c r="AC12" s="42">
        <f t="shared" si="14"/>
        <v>18457.919999999998</v>
      </c>
      <c r="AD12" s="43">
        <f t="shared" si="30"/>
        <v>221495.03999999998</v>
      </c>
      <c r="AF12" s="38">
        <f t="shared" si="31"/>
        <v>0.255</v>
      </c>
      <c r="AG12" s="37">
        <f t="shared" si="15"/>
        <v>80.263800000000003</v>
      </c>
      <c r="AH12" s="58">
        <f t="shared" si="16"/>
        <v>234.49619999999999</v>
      </c>
      <c r="AI12" s="59">
        <v>0.17499999999999999</v>
      </c>
      <c r="AJ12" s="37">
        <f t="shared" si="17"/>
        <v>45.443474999999999</v>
      </c>
      <c r="AK12" s="58">
        <f t="shared" si="18"/>
        <v>214.23352500000001</v>
      </c>
      <c r="AM12" s="60">
        <f t="shared" si="19"/>
        <v>61.302</v>
      </c>
      <c r="AN12" s="61">
        <f t="shared" si="20"/>
        <v>186.37800000000001</v>
      </c>
      <c r="AO12" s="60">
        <f t="shared" si="21"/>
        <v>70.349999999999994</v>
      </c>
      <c r="AP12" s="58">
        <f t="shared" si="22"/>
        <v>244.41</v>
      </c>
      <c r="AQ12" s="62">
        <f t="shared" si="32"/>
        <v>276.35999999999996</v>
      </c>
      <c r="AR12" s="62">
        <f t="shared" si="33"/>
        <v>51507.424079999997</v>
      </c>
      <c r="AS12" s="63">
        <f t="shared" si="34"/>
        <v>67545.147599999982</v>
      </c>
    </row>
    <row r="13" spans="1:45" x14ac:dyDescent="0.25">
      <c r="A13" s="22" t="s">
        <v>62</v>
      </c>
      <c r="B13" s="33">
        <v>0.53</v>
      </c>
      <c r="C13" s="34">
        <v>0.158</v>
      </c>
      <c r="D13" s="37">
        <f t="shared" si="23"/>
        <v>305.27999999999997</v>
      </c>
      <c r="E13" s="54">
        <v>0.17499999999999999</v>
      </c>
      <c r="F13" s="37">
        <f t="shared" si="24"/>
        <v>53.42</v>
      </c>
      <c r="G13" s="36">
        <f t="shared" si="0"/>
        <v>251.85999999999996</v>
      </c>
      <c r="H13" s="37">
        <f t="shared" si="1"/>
        <v>387.96</v>
      </c>
      <c r="I13" s="38">
        <f t="shared" si="2"/>
        <v>0.17499999999999999</v>
      </c>
      <c r="J13" s="39">
        <f t="shared" si="3"/>
        <v>67.892999999999986</v>
      </c>
      <c r="K13" s="36">
        <f t="shared" si="25"/>
        <v>320.06700000000001</v>
      </c>
      <c r="L13" s="55">
        <f t="shared" si="26"/>
        <v>127.08131501627891</v>
      </c>
      <c r="M13" s="37">
        <f t="shared" si="27"/>
        <v>387.96</v>
      </c>
      <c r="N13" s="56">
        <v>0.255</v>
      </c>
      <c r="O13" s="37">
        <f t="shared" si="4"/>
        <v>98.93</v>
      </c>
      <c r="P13" s="158">
        <f t="shared" si="5"/>
        <v>289.02999999999997</v>
      </c>
      <c r="Q13" s="165">
        <f t="shared" si="6"/>
        <v>114.75819899944415</v>
      </c>
      <c r="R13" s="28"/>
      <c r="S13" s="29">
        <f t="shared" si="7"/>
        <v>711</v>
      </c>
      <c r="T13" s="57">
        <f t="shared" si="8"/>
        <v>179072.45999999996</v>
      </c>
      <c r="U13" s="42">
        <f t="shared" si="9"/>
        <v>2148869.5199999996</v>
      </c>
      <c r="V13" s="42">
        <f t="shared" si="10"/>
        <v>227567.63700000002</v>
      </c>
      <c r="W13" s="42">
        <f t="shared" si="11"/>
        <v>2730811.6440000003</v>
      </c>
      <c r="X13" s="42">
        <f t="shared" si="12"/>
        <v>205500.33</v>
      </c>
      <c r="Y13" s="42">
        <f t="shared" si="28"/>
        <v>2466003.96</v>
      </c>
      <c r="AA13" s="42">
        <f t="shared" si="13"/>
        <v>48495.177000000054</v>
      </c>
      <c r="AB13" s="42">
        <f t="shared" si="29"/>
        <v>581942.12400000065</v>
      </c>
      <c r="AC13" s="42">
        <f t="shared" si="14"/>
        <v>26427.870000000024</v>
      </c>
      <c r="AD13" s="43">
        <f t="shared" si="30"/>
        <v>317134.44000000029</v>
      </c>
      <c r="AF13" s="38">
        <f t="shared" si="31"/>
        <v>0.255</v>
      </c>
      <c r="AG13" s="37">
        <f t="shared" si="15"/>
        <v>98.9298</v>
      </c>
      <c r="AH13" s="58">
        <f t="shared" si="16"/>
        <v>289.03019999999998</v>
      </c>
      <c r="AI13" s="59">
        <v>0.17499999999999999</v>
      </c>
      <c r="AJ13" s="37">
        <f t="shared" si="17"/>
        <v>56.011724999999998</v>
      </c>
      <c r="AK13" s="58">
        <f t="shared" si="18"/>
        <v>264.05527499999999</v>
      </c>
      <c r="AM13" s="60">
        <f t="shared" si="19"/>
        <v>75.557999999999979</v>
      </c>
      <c r="AN13" s="61">
        <f t="shared" si="20"/>
        <v>229.72199999999998</v>
      </c>
      <c r="AO13" s="60">
        <f t="shared" si="21"/>
        <v>86.708999999999989</v>
      </c>
      <c r="AP13" s="58">
        <f t="shared" si="22"/>
        <v>301.25099999999998</v>
      </c>
      <c r="AQ13" s="62">
        <f t="shared" si="32"/>
        <v>276.35999999999996</v>
      </c>
      <c r="AR13" s="62">
        <f t="shared" si="33"/>
        <v>63485.971919999982</v>
      </c>
      <c r="AS13" s="63">
        <f t="shared" si="34"/>
        <v>83253.726359999986</v>
      </c>
    </row>
    <row r="14" spans="1:45" x14ac:dyDescent="0.25">
      <c r="A14" s="22" t="s">
        <v>63</v>
      </c>
      <c r="B14" s="33">
        <v>0.66</v>
      </c>
      <c r="C14" s="34">
        <v>8.3000000000000004E-2</v>
      </c>
      <c r="D14" s="37">
        <f t="shared" si="23"/>
        <v>380.16</v>
      </c>
      <c r="E14" s="54">
        <v>0.17499999999999999</v>
      </c>
      <c r="F14" s="37">
        <f t="shared" si="24"/>
        <v>66.53</v>
      </c>
      <c r="G14" s="36">
        <f t="shared" si="0"/>
        <v>313.63</v>
      </c>
      <c r="H14" s="37">
        <f t="shared" si="1"/>
        <v>483.12</v>
      </c>
      <c r="I14" s="38">
        <f t="shared" si="2"/>
        <v>0.17499999999999999</v>
      </c>
      <c r="J14" s="39">
        <f t="shared" si="3"/>
        <v>84.545999999999992</v>
      </c>
      <c r="K14" s="36">
        <f t="shared" si="25"/>
        <v>398.57400000000001</v>
      </c>
      <c r="L14" s="55">
        <f t="shared" si="26"/>
        <v>127.08414373624973</v>
      </c>
      <c r="M14" s="37">
        <f t="shared" si="27"/>
        <v>483.12</v>
      </c>
      <c r="N14" s="56">
        <v>0.255</v>
      </c>
      <c r="O14" s="37">
        <f t="shared" si="4"/>
        <v>123.2</v>
      </c>
      <c r="P14" s="158">
        <f t="shared" si="5"/>
        <v>359.92</v>
      </c>
      <c r="Q14" s="165">
        <f t="shared" si="6"/>
        <v>114.75942990147627</v>
      </c>
      <c r="R14" s="28"/>
      <c r="S14" s="29">
        <f t="shared" si="7"/>
        <v>374</v>
      </c>
      <c r="T14" s="57">
        <f t="shared" si="8"/>
        <v>117297.62</v>
      </c>
      <c r="U14" s="42">
        <f t="shared" si="9"/>
        <v>1407571.44</v>
      </c>
      <c r="V14" s="42">
        <f t="shared" si="10"/>
        <v>149066.67600000001</v>
      </c>
      <c r="W14" s="42">
        <f t="shared" si="11"/>
        <v>1788800.1120000002</v>
      </c>
      <c r="X14" s="42">
        <f t="shared" si="12"/>
        <v>134610.08000000002</v>
      </c>
      <c r="Y14" s="42">
        <f t="shared" si="28"/>
        <v>1615320.9600000002</v>
      </c>
      <c r="AA14" s="42">
        <f t="shared" si="13"/>
        <v>31769.056000000011</v>
      </c>
      <c r="AB14" s="42">
        <f t="shared" si="29"/>
        <v>381228.67200000014</v>
      </c>
      <c r="AC14" s="42">
        <f t="shared" si="14"/>
        <v>17312.460000000021</v>
      </c>
      <c r="AD14" s="43">
        <f t="shared" si="30"/>
        <v>207749.52000000025</v>
      </c>
      <c r="AF14" s="38">
        <f t="shared" si="31"/>
        <v>0.255</v>
      </c>
      <c r="AG14" s="37">
        <f t="shared" si="15"/>
        <v>123.1956</v>
      </c>
      <c r="AH14" s="58">
        <f t="shared" si="16"/>
        <v>359.92439999999999</v>
      </c>
      <c r="AI14" s="59">
        <v>0.17499999999999999</v>
      </c>
      <c r="AJ14" s="37">
        <f t="shared" si="17"/>
        <v>69.750450000000001</v>
      </c>
      <c r="AK14" s="58">
        <f t="shared" si="18"/>
        <v>328.82355000000001</v>
      </c>
      <c r="AM14" s="60">
        <f t="shared" si="19"/>
        <v>94.088999999999999</v>
      </c>
      <c r="AN14" s="61">
        <f t="shared" si="20"/>
        <v>286.07100000000003</v>
      </c>
      <c r="AO14" s="60">
        <f t="shared" si="21"/>
        <v>107.976</v>
      </c>
      <c r="AP14" s="58">
        <f t="shared" si="22"/>
        <v>375.14400000000001</v>
      </c>
      <c r="AQ14" s="62">
        <f t="shared" si="32"/>
        <v>276.35999999999996</v>
      </c>
      <c r="AR14" s="62">
        <f t="shared" si="33"/>
        <v>79058.581559999991</v>
      </c>
      <c r="AS14" s="63">
        <f t="shared" si="34"/>
        <v>103674.79583999999</v>
      </c>
    </row>
    <row r="15" spans="1:45" ht="16.5" thickBot="1" x14ac:dyDescent="0.3">
      <c r="A15" s="22" t="s">
        <v>64</v>
      </c>
      <c r="B15" s="33">
        <v>0.77</v>
      </c>
      <c r="C15" s="34">
        <v>0.124</v>
      </c>
      <c r="D15" s="37">
        <f t="shared" si="23"/>
        <v>443.52</v>
      </c>
      <c r="E15" s="54">
        <v>0.17499999999999999</v>
      </c>
      <c r="F15" s="37">
        <f t="shared" si="24"/>
        <v>77.62</v>
      </c>
      <c r="G15" s="36">
        <f t="shared" si="0"/>
        <v>365.9</v>
      </c>
      <c r="H15" s="37">
        <f t="shared" si="1"/>
        <v>563.64</v>
      </c>
      <c r="I15" s="38">
        <f t="shared" si="2"/>
        <v>0.17499999999999999</v>
      </c>
      <c r="J15" s="39">
        <f t="shared" si="3"/>
        <v>98.636999999999986</v>
      </c>
      <c r="K15" s="36">
        <f t="shared" si="25"/>
        <v>465.00299999999999</v>
      </c>
      <c r="L15" s="55">
        <f t="shared" si="26"/>
        <v>127.08472260180376</v>
      </c>
      <c r="M15" s="37">
        <f t="shared" si="27"/>
        <v>563.64</v>
      </c>
      <c r="N15" s="56">
        <v>0.255</v>
      </c>
      <c r="O15" s="37">
        <f t="shared" si="4"/>
        <v>143.72999999999999</v>
      </c>
      <c r="P15" s="158">
        <f t="shared" si="5"/>
        <v>419.90999999999997</v>
      </c>
      <c r="Q15" s="165">
        <f t="shared" si="6"/>
        <v>114.76086362394096</v>
      </c>
      <c r="R15" s="28"/>
      <c r="S15" s="29">
        <f t="shared" si="7"/>
        <v>558</v>
      </c>
      <c r="T15" s="57">
        <f t="shared" si="8"/>
        <v>204172.19999999998</v>
      </c>
      <c r="U15" s="42">
        <f t="shared" si="9"/>
        <v>2450066.4</v>
      </c>
      <c r="V15" s="42">
        <f t="shared" si="10"/>
        <v>259471.674</v>
      </c>
      <c r="W15" s="42">
        <f t="shared" si="11"/>
        <v>3113660.088</v>
      </c>
      <c r="X15" s="42">
        <f t="shared" si="12"/>
        <v>234309.77999999997</v>
      </c>
      <c r="Y15" s="42">
        <f t="shared" si="28"/>
        <v>2811717.3599999994</v>
      </c>
      <c r="AA15" s="42">
        <f t="shared" si="13"/>
        <v>55299.474000000017</v>
      </c>
      <c r="AB15" s="42">
        <f t="shared" si="29"/>
        <v>663593.6880000002</v>
      </c>
      <c r="AC15" s="42">
        <f t="shared" si="14"/>
        <v>30137.579999999987</v>
      </c>
      <c r="AD15" s="43">
        <f t="shared" si="30"/>
        <v>361650.95999999985</v>
      </c>
      <c r="AF15" s="38">
        <f t="shared" si="31"/>
        <v>0.255</v>
      </c>
      <c r="AG15" s="64">
        <f t="shared" si="15"/>
        <v>143.72819999999999</v>
      </c>
      <c r="AH15" s="65">
        <f t="shared" si="16"/>
        <v>419.91179999999997</v>
      </c>
      <c r="AI15" s="66">
        <v>0.17499999999999999</v>
      </c>
      <c r="AJ15" s="64">
        <f t="shared" si="17"/>
        <v>81.375524999999996</v>
      </c>
      <c r="AK15" s="65">
        <f t="shared" si="18"/>
        <v>383.627475</v>
      </c>
      <c r="AM15" s="67">
        <f t="shared" si="19"/>
        <v>109.77</v>
      </c>
      <c r="AN15" s="68">
        <f t="shared" si="20"/>
        <v>333.75</v>
      </c>
      <c r="AO15" s="67">
        <f t="shared" si="21"/>
        <v>125.97299999999998</v>
      </c>
      <c r="AP15" s="69">
        <f t="shared" si="22"/>
        <v>437.66700000000003</v>
      </c>
      <c r="AQ15" s="62">
        <f t="shared" si="32"/>
        <v>276.35999999999996</v>
      </c>
      <c r="AR15" s="62">
        <f t="shared" si="33"/>
        <v>92235.14999999998</v>
      </c>
      <c r="AS15" s="70">
        <f t="shared" si="34"/>
        <v>120953.65211999998</v>
      </c>
    </row>
    <row r="16" spans="1:45" ht="16.5" thickBot="1" x14ac:dyDescent="0.3">
      <c r="S16" s="29">
        <f>SUM(S7:S15)</f>
        <v>4504</v>
      </c>
      <c r="T16" s="71">
        <f>SUM(T7:T15)</f>
        <v>857882.57</v>
      </c>
      <c r="U16" s="71">
        <f>SUM(U7:U15)</f>
        <v>10294590.84</v>
      </c>
      <c r="V16" s="71">
        <f t="shared" ref="V16:W16" si="35">SUM(V7:V15)</f>
        <v>1090226.1600000001</v>
      </c>
      <c r="W16" s="71">
        <f t="shared" si="35"/>
        <v>13082713.92</v>
      </c>
      <c r="X16" s="71">
        <f>SUM(X7:X15)</f>
        <v>984539.02</v>
      </c>
      <c r="Y16" s="71">
        <f>SUM(Y7:Y15)</f>
        <v>11814468.24</v>
      </c>
      <c r="AA16" s="71">
        <f t="shared" ref="AA16:AB16" si="36">SUM(AA7:AA15)</f>
        <v>232343.59000000011</v>
      </c>
      <c r="AB16" s="71">
        <f t="shared" si="36"/>
        <v>2788123.0800000015</v>
      </c>
      <c r="AC16" s="71">
        <f>SUM(AC7:AC15)</f>
        <v>126656.45000000004</v>
      </c>
      <c r="AD16" s="72">
        <f>SUM(AD7:AD15)</f>
        <v>1519877.4000000004</v>
      </c>
      <c r="AF16" s="28"/>
      <c r="AG16" s="28"/>
      <c r="AH16" s="28"/>
      <c r="AI16" s="28"/>
      <c r="AJ16" s="28"/>
      <c r="AK16" s="28"/>
      <c r="AL16" s="28"/>
      <c r="AM16" s="73">
        <f>SUM(AM8:AM15)</f>
        <v>469.92899999999992</v>
      </c>
      <c r="AN16" s="74">
        <f>SUM(AN8:AN15)</f>
        <v>1453.9110000000001</v>
      </c>
      <c r="AO16" s="73">
        <f t="shared" ref="AO16:AP16" si="37">SUM(AO8:AO15)</f>
        <v>539.31299999999999</v>
      </c>
      <c r="AP16" s="74">
        <f t="shared" si="37"/>
        <v>1905.567</v>
      </c>
      <c r="AQ16" s="75">
        <f>SUM(AQ8:AQ15)</f>
        <v>2210.8799999999997</v>
      </c>
      <c r="AR16" s="76">
        <f>SUM(AR8:AR15)</f>
        <v>401802.84395999991</v>
      </c>
      <c r="AS16" s="76">
        <f>SUM(AS8:AS15)</f>
        <v>526622.49611999991</v>
      </c>
    </row>
    <row r="17" spans="1:45" ht="3" customHeight="1" thickBot="1" x14ac:dyDescent="0.3">
      <c r="P17" s="159"/>
      <c r="S17" s="78" t="s">
        <v>65</v>
      </c>
      <c r="T17" s="79">
        <f>T16*0.9</f>
        <v>772094.31299999997</v>
      </c>
      <c r="U17" s="71">
        <f>+U16*0.9</f>
        <v>9265131.756000001</v>
      </c>
      <c r="V17" s="71">
        <f t="shared" ref="V17:Y17" si="38">+V16*0.9</f>
        <v>981203.54400000011</v>
      </c>
      <c r="W17" s="71">
        <f t="shared" si="38"/>
        <v>11774442.528000001</v>
      </c>
      <c r="X17" s="71">
        <f t="shared" si="38"/>
        <v>886085.11800000002</v>
      </c>
      <c r="Y17" s="71">
        <f t="shared" si="38"/>
        <v>10633021.416000001</v>
      </c>
      <c r="AA17" s="71">
        <f t="shared" ref="AA17:AD17" si="39">+AA16*0.9</f>
        <v>209109.23100000012</v>
      </c>
      <c r="AB17" s="71">
        <f t="shared" si="39"/>
        <v>2509310.7720000013</v>
      </c>
      <c r="AC17" s="71">
        <f t="shared" si="39"/>
        <v>113990.80500000004</v>
      </c>
      <c r="AD17" s="71">
        <f t="shared" si="39"/>
        <v>1367889.6600000004</v>
      </c>
      <c r="AF17" s="28"/>
      <c r="AG17" s="28"/>
      <c r="AH17" s="28"/>
      <c r="AI17" s="28"/>
      <c r="AJ17" s="28"/>
      <c r="AK17" s="28"/>
      <c r="AL17" s="28"/>
      <c r="AM17" s="80"/>
      <c r="AN17" s="80"/>
      <c r="AQ17" s="80"/>
      <c r="AR17" s="80"/>
      <c r="AS17" s="80"/>
    </row>
    <row r="18" spans="1:45" ht="106.5" hidden="1" customHeight="1" x14ac:dyDescent="0.25">
      <c r="AM18" s="80"/>
      <c r="AN18" s="80"/>
      <c r="AQ18" s="80"/>
      <c r="AR18" s="80"/>
      <c r="AS18" s="80"/>
    </row>
    <row r="19" spans="1:45" s="6" customFormat="1" ht="66" customHeight="1" thickBot="1" x14ac:dyDescent="0.3">
      <c r="A19" s="186" t="s">
        <v>66</v>
      </c>
      <c r="B19" s="186"/>
      <c r="C19" s="186"/>
      <c r="D19" s="187" t="s">
        <v>2</v>
      </c>
      <c r="E19" s="187"/>
      <c r="F19" s="187"/>
      <c r="G19" s="187"/>
      <c r="H19" s="187" t="s">
        <v>3</v>
      </c>
      <c r="I19" s="187"/>
      <c r="J19" s="187"/>
      <c r="K19" s="187"/>
      <c r="L19" s="187"/>
      <c r="M19" s="187" t="s">
        <v>4</v>
      </c>
      <c r="N19" s="187"/>
      <c r="O19" s="187"/>
      <c r="P19" s="187"/>
      <c r="Q19" s="187"/>
      <c r="T19" s="177" t="s">
        <v>5</v>
      </c>
      <c r="U19" s="179"/>
      <c r="V19" s="177" t="s">
        <v>6</v>
      </c>
      <c r="W19" s="179"/>
      <c r="X19" s="177" t="s">
        <v>7</v>
      </c>
      <c r="Y19" s="179"/>
      <c r="AA19" s="177" t="s">
        <v>6</v>
      </c>
      <c r="AB19" s="179"/>
      <c r="AC19" s="177" t="s">
        <v>7</v>
      </c>
      <c r="AD19" s="179"/>
      <c r="AF19" s="188" t="s">
        <v>8</v>
      </c>
      <c r="AG19" s="189"/>
      <c r="AH19" s="190"/>
      <c r="AI19" s="188" t="s">
        <v>9</v>
      </c>
      <c r="AJ19" s="189"/>
      <c r="AK19" s="190"/>
      <c r="AM19" s="191" t="s">
        <v>10</v>
      </c>
      <c r="AN19" s="192"/>
      <c r="AO19" s="191" t="s">
        <v>11</v>
      </c>
      <c r="AP19" s="193"/>
      <c r="AQ19" s="194" t="s">
        <v>12</v>
      </c>
      <c r="AR19" s="7" t="s">
        <v>13</v>
      </c>
      <c r="AS19" s="8" t="s">
        <v>14</v>
      </c>
    </row>
    <row r="20" spans="1:45" s="15" customFormat="1" ht="119.25" customHeight="1" thickBot="1" x14ac:dyDescent="0.3">
      <c r="A20" s="9"/>
      <c r="B20" s="10" t="s">
        <v>15</v>
      </c>
      <c r="C20" s="10" t="s">
        <v>16</v>
      </c>
      <c r="D20" s="10" t="s">
        <v>17</v>
      </c>
      <c r="E20" s="11" t="s">
        <v>18</v>
      </c>
      <c r="F20" s="10" t="s">
        <v>19</v>
      </c>
      <c r="G20" s="10" t="s">
        <v>20</v>
      </c>
      <c r="H20" s="10" t="s">
        <v>21</v>
      </c>
      <c r="I20" s="10" t="s">
        <v>22</v>
      </c>
      <c r="J20" s="10" t="s">
        <v>23</v>
      </c>
      <c r="K20" s="10" t="s">
        <v>24</v>
      </c>
      <c r="L20" s="12" t="s">
        <v>25</v>
      </c>
      <c r="M20" s="10" t="s">
        <v>88</v>
      </c>
      <c r="N20" s="11" t="s">
        <v>89</v>
      </c>
      <c r="O20" s="10" t="s">
        <v>90</v>
      </c>
      <c r="P20" s="156" t="s">
        <v>91</v>
      </c>
      <c r="Q20" s="163" t="s">
        <v>92</v>
      </c>
      <c r="R20" s="10"/>
      <c r="S20" s="13" t="s">
        <v>26</v>
      </c>
      <c r="T20" s="14" t="s">
        <v>27</v>
      </c>
      <c r="U20" s="14" t="s">
        <v>28</v>
      </c>
      <c r="V20" s="14" t="s">
        <v>29</v>
      </c>
      <c r="W20" s="14" t="s">
        <v>30</v>
      </c>
      <c r="X20" s="14" t="s">
        <v>31</v>
      </c>
      <c r="Y20" s="14" t="s">
        <v>32</v>
      </c>
      <c r="AA20" s="14" t="s">
        <v>29</v>
      </c>
      <c r="AB20" s="14" t="s">
        <v>30</v>
      </c>
      <c r="AC20" s="14" t="s">
        <v>31</v>
      </c>
      <c r="AD20" s="14" t="s">
        <v>32</v>
      </c>
      <c r="AF20" s="16" t="s">
        <v>33</v>
      </c>
      <c r="AG20" s="17" t="s">
        <v>34</v>
      </c>
      <c r="AH20" s="17" t="s">
        <v>35</v>
      </c>
      <c r="AI20" s="16" t="s">
        <v>36</v>
      </c>
      <c r="AJ20" s="17" t="s">
        <v>34</v>
      </c>
      <c r="AK20" s="17" t="s">
        <v>35</v>
      </c>
      <c r="AM20" s="18" t="s">
        <v>35</v>
      </c>
      <c r="AN20" s="19" t="s">
        <v>37</v>
      </c>
      <c r="AO20" s="18" t="s">
        <v>35</v>
      </c>
      <c r="AP20" s="19" t="s">
        <v>37</v>
      </c>
      <c r="AQ20" s="195"/>
      <c r="AR20" s="20" t="s">
        <v>38</v>
      </c>
      <c r="AS20" s="20" t="s">
        <v>38</v>
      </c>
    </row>
    <row r="21" spans="1:45" s="85" customFormat="1" ht="14.25" customHeight="1" x14ac:dyDescent="0.25">
      <c r="A21" s="81"/>
      <c r="B21" s="82">
        <v>1</v>
      </c>
      <c r="C21" s="82">
        <v>2</v>
      </c>
      <c r="D21" s="82">
        <v>3</v>
      </c>
      <c r="E21" s="83">
        <v>4</v>
      </c>
      <c r="F21" s="82" t="s">
        <v>39</v>
      </c>
      <c r="G21" s="82" t="s">
        <v>40</v>
      </c>
      <c r="H21" s="82">
        <v>7</v>
      </c>
      <c r="I21" s="82">
        <v>8</v>
      </c>
      <c r="J21" s="82" t="s">
        <v>41</v>
      </c>
      <c r="K21" s="82" t="s">
        <v>42</v>
      </c>
      <c r="L21" s="82" t="s">
        <v>43</v>
      </c>
      <c r="M21" s="82">
        <v>12</v>
      </c>
      <c r="N21" s="83">
        <v>13</v>
      </c>
      <c r="O21" s="82">
        <v>14</v>
      </c>
      <c r="P21" s="160">
        <v>15</v>
      </c>
      <c r="Q21" s="156" t="s">
        <v>44</v>
      </c>
      <c r="R21" s="84"/>
      <c r="S21" s="84">
        <v>17</v>
      </c>
      <c r="T21" s="84" t="s">
        <v>45</v>
      </c>
      <c r="U21" s="84">
        <v>19</v>
      </c>
      <c r="V21" s="84" t="s">
        <v>46</v>
      </c>
      <c r="W21" s="84">
        <v>21</v>
      </c>
      <c r="X21" s="84" t="s">
        <v>47</v>
      </c>
      <c r="Y21" s="84">
        <v>23</v>
      </c>
      <c r="Z21" s="84"/>
      <c r="AA21" s="84">
        <v>24</v>
      </c>
      <c r="AB21" s="84">
        <v>25</v>
      </c>
      <c r="AC21" s="84">
        <v>26</v>
      </c>
      <c r="AD21" s="84">
        <v>27</v>
      </c>
      <c r="AE21" s="84"/>
      <c r="AF21" s="84">
        <v>28</v>
      </c>
      <c r="AG21" s="84">
        <v>29</v>
      </c>
      <c r="AH21" s="84">
        <v>30</v>
      </c>
      <c r="AI21" s="84">
        <v>31</v>
      </c>
      <c r="AJ21" s="84">
        <v>32</v>
      </c>
      <c r="AK21" s="84">
        <v>33</v>
      </c>
      <c r="AM21" s="84" t="s">
        <v>50</v>
      </c>
      <c r="AN21" s="84" t="s">
        <v>51</v>
      </c>
      <c r="AO21" s="84" t="s">
        <v>52</v>
      </c>
      <c r="AP21" s="84" t="s">
        <v>53</v>
      </c>
      <c r="AQ21" s="84">
        <v>38</v>
      </c>
      <c r="AR21" s="84" t="s">
        <v>54</v>
      </c>
      <c r="AS21" s="84" t="s">
        <v>55</v>
      </c>
    </row>
    <row r="22" spans="1:45" ht="16.5" thickBot="1" x14ac:dyDescent="0.3">
      <c r="A22" s="22"/>
      <c r="B22" s="22"/>
      <c r="C22" s="22"/>
      <c r="D22" s="25">
        <v>418</v>
      </c>
      <c r="E22" s="24"/>
      <c r="F22" s="25"/>
      <c r="G22" s="23"/>
      <c r="H22" s="23">
        <f>ROUND(D22*1.27,0)</f>
        <v>531</v>
      </c>
      <c r="I22" s="22"/>
      <c r="J22" s="22"/>
      <c r="K22" s="26"/>
      <c r="L22" s="26"/>
      <c r="M22" s="23">
        <f>+H22</f>
        <v>531</v>
      </c>
      <c r="N22" s="27"/>
      <c r="O22" s="23"/>
      <c r="P22" s="157"/>
      <c r="Q22" s="164"/>
      <c r="R22" s="28"/>
      <c r="S22" s="29">
        <v>5700</v>
      </c>
      <c r="T22" s="30"/>
      <c r="U22" s="31"/>
      <c r="V22" s="31"/>
      <c r="W22" s="31"/>
      <c r="X22" s="30"/>
      <c r="AA22" s="31"/>
      <c r="AB22" s="31"/>
      <c r="AC22" s="30"/>
      <c r="AD22" s="3"/>
      <c r="AF22" s="32"/>
      <c r="AG22" s="28"/>
      <c r="AH22" s="28"/>
      <c r="AI22" s="32"/>
      <c r="AJ22" s="28"/>
      <c r="AK22" s="28"/>
      <c r="AM22" s="185"/>
      <c r="AN22" s="185"/>
      <c r="AO22" s="185"/>
      <c r="AP22" s="185"/>
      <c r="AQ22" s="185"/>
      <c r="AR22" s="185"/>
      <c r="AS22" s="185"/>
    </row>
    <row r="23" spans="1:45" x14ac:dyDescent="0.25">
      <c r="A23" s="22" t="s">
        <v>56</v>
      </c>
      <c r="B23" s="33">
        <v>0</v>
      </c>
      <c r="C23" s="34">
        <v>0.03</v>
      </c>
      <c r="D23" s="22"/>
      <c r="E23" s="35"/>
      <c r="F23" s="22"/>
      <c r="G23" s="36"/>
      <c r="H23" s="37"/>
      <c r="I23" s="38"/>
      <c r="J23" s="39"/>
      <c r="K23" s="36"/>
      <c r="L23" s="36"/>
      <c r="M23" s="40"/>
      <c r="N23" s="41"/>
      <c r="O23" s="40"/>
      <c r="P23" s="158"/>
      <c r="Q23" s="164"/>
      <c r="R23" s="28"/>
      <c r="S23" s="29">
        <f>ROUND($S$22*C23,0)-7</f>
        <v>164</v>
      </c>
      <c r="T23" s="29"/>
      <c r="U23" s="29"/>
      <c r="V23" s="29"/>
      <c r="W23" s="29"/>
      <c r="X23" s="42"/>
      <c r="Y23" s="42"/>
      <c r="AA23" s="29"/>
      <c r="AB23" s="29"/>
      <c r="AC23" s="42"/>
      <c r="AD23" s="43"/>
      <c r="AF23" s="44"/>
      <c r="AG23" s="45"/>
      <c r="AH23" s="46"/>
      <c r="AI23" s="44"/>
      <c r="AJ23" s="47"/>
      <c r="AK23" s="48"/>
      <c r="AM23" s="49"/>
      <c r="AN23" s="50"/>
      <c r="AO23" s="44"/>
      <c r="AP23" s="46"/>
      <c r="AQ23" s="51"/>
      <c r="AR23" s="51"/>
      <c r="AS23" s="86"/>
    </row>
    <row r="24" spans="1:45" x14ac:dyDescent="0.25">
      <c r="A24" s="22" t="s">
        <v>57</v>
      </c>
      <c r="B24" s="33">
        <v>0.1</v>
      </c>
      <c r="C24" s="34">
        <v>0.13900000000000001</v>
      </c>
      <c r="D24" s="37">
        <f>ROUND(B24*$D$22,2)</f>
        <v>41.8</v>
      </c>
      <c r="E24" s="54">
        <v>0.15</v>
      </c>
      <c r="F24" s="37">
        <f>ROUND(E24*D24,2)</f>
        <v>6.27</v>
      </c>
      <c r="G24" s="36">
        <f t="shared" ref="G24:G31" si="40">+D24-F24</f>
        <v>35.53</v>
      </c>
      <c r="H24" s="37">
        <f>+ROUND($H$22*B24,2)</f>
        <v>53.1</v>
      </c>
      <c r="I24" s="38">
        <f t="shared" ref="I24:I31" si="41">+E24</f>
        <v>0.15</v>
      </c>
      <c r="J24" s="39">
        <f t="shared" ref="J24:J31" si="42">+I24*H24</f>
        <v>7.9649999999999999</v>
      </c>
      <c r="K24" s="36">
        <f>H24-J24</f>
        <v>45.135000000000005</v>
      </c>
      <c r="L24" s="55">
        <f>+K24/G24*100</f>
        <v>127.03349282296652</v>
      </c>
      <c r="M24" s="37">
        <f>+H24</f>
        <v>53.1</v>
      </c>
      <c r="N24" s="56">
        <v>0.23200000000000001</v>
      </c>
      <c r="O24" s="37">
        <f t="shared" ref="O24:O31" si="43">ROUND(N24*M24,2)</f>
        <v>12.32</v>
      </c>
      <c r="P24" s="158">
        <f t="shared" ref="P24:P31" si="44">M24-O24</f>
        <v>40.78</v>
      </c>
      <c r="Q24" s="165">
        <f t="shared" ref="Q24:Q31" si="45">+P24/G24*100</f>
        <v>114.77624542640021</v>
      </c>
      <c r="R24" s="28"/>
      <c r="S24" s="29">
        <f t="shared" ref="S24:S31" si="46">ROUND($S$22*C24,0)+1</f>
        <v>793</v>
      </c>
      <c r="T24" s="57">
        <f t="shared" ref="T24:T31" si="47">S24*G24</f>
        <v>28175.29</v>
      </c>
      <c r="U24" s="42">
        <f t="shared" ref="U24:U31" si="48">+S24*G24*12</f>
        <v>338103.48</v>
      </c>
      <c r="V24" s="42">
        <f t="shared" ref="V24:V31" si="49">S24*K24</f>
        <v>35792.055000000008</v>
      </c>
      <c r="W24" s="42">
        <f t="shared" ref="W24:W31" si="50">S24*K24*12</f>
        <v>429504.66000000009</v>
      </c>
      <c r="X24" s="42">
        <f t="shared" ref="X24:X31" si="51">P24*S24</f>
        <v>32338.54</v>
      </c>
      <c r="Y24" s="42">
        <f>X24*12</f>
        <v>388062.48</v>
      </c>
      <c r="AA24" s="42">
        <f t="shared" ref="AA24:AA31" si="52">V24-T24</f>
        <v>7616.7650000000067</v>
      </c>
      <c r="AB24" s="42">
        <f>AA24*12</f>
        <v>91401.18000000008</v>
      </c>
      <c r="AC24" s="42">
        <f t="shared" ref="AC24:AC31" si="53">X24-T24</f>
        <v>4163.25</v>
      </c>
      <c r="AD24" s="43">
        <f>AC24*12</f>
        <v>49959</v>
      </c>
      <c r="AF24" s="38">
        <f>+N24</f>
        <v>0.23200000000000001</v>
      </c>
      <c r="AG24" s="37">
        <f t="shared" ref="AG24:AG31" si="54">H24*AF24</f>
        <v>12.3192</v>
      </c>
      <c r="AH24" s="58">
        <f t="shared" ref="AH24:AH31" si="55">H24-AG24</f>
        <v>40.780799999999999</v>
      </c>
      <c r="AI24" s="59">
        <v>0.15</v>
      </c>
      <c r="AJ24" s="37">
        <f t="shared" ref="AJ24:AJ31" si="56">K24*AI24</f>
        <v>6.7702500000000008</v>
      </c>
      <c r="AK24" s="58">
        <f t="shared" ref="AK24:AK31" si="57">K24-AJ24</f>
        <v>38.364750000000001</v>
      </c>
      <c r="AM24" s="60">
        <f t="shared" ref="AM24:AM31" si="58">G24*0.3</f>
        <v>10.659000000000001</v>
      </c>
      <c r="AN24" s="61">
        <f t="shared" ref="AN24:AN31" si="59">D24-AM24</f>
        <v>31.140999999999998</v>
      </c>
      <c r="AO24" s="60">
        <f t="shared" ref="AO24:AO31" si="60">P24*0.3</f>
        <v>12.234</v>
      </c>
      <c r="AP24" s="58">
        <f t="shared" ref="AP24:AP31" si="61">M24-AO24</f>
        <v>40.866</v>
      </c>
      <c r="AQ24" s="62">
        <f>725*0.47</f>
        <v>340.75</v>
      </c>
      <c r="AR24" s="62">
        <f>AQ24*AN24</f>
        <v>10611.295749999999</v>
      </c>
      <c r="AS24" s="63">
        <f>AQ24*AP24</f>
        <v>13925.0895</v>
      </c>
    </row>
    <row r="25" spans="1:45" x14ac:dyDescent="0.25">
      <c r="A25" s="22" t="s">
        <v>58</v>
      </c>
      <c r="B25" s="33">
        <v>0.2</v>
      </c>
      <c r="C25" s="34">
        <v>0.08</v>
      </c>
      <c r="D25" s="37">
        <f t="shared" ref="D25:D31" si="62">ROUND(B25*$D$22,2)</f>
        <v>83.6</v>
      </c>
      <c r="E25" s="54">
        <v>0.15</v>
      </c>
      <c r="F25" s="37">
        <f t="shared" ref="F25:F31" si="63">ROUND(E25*D25,2)</f>
        <v>12.54</v>
      </c>
      <c r="G25" s="36">
        <f t="shared" si="40"/>
        <v>71.06</v>
      </c>
      <c r="H25" s="37">
        <f t="shared" ref="H25:H31" si="64">+ROUND($H$22*B25,2)</f>
        <v>106.2</v>
      </c>
      <c r="I25" s="38">
        <f t="shared" si="41"/>
        <v>0.15</v>
      </c>
      <c r="J25" s="39">
        <f t="shared" si="42"/>
        <v>15.93</v>
      </c>
      <c r="K25" s="36">
        <f t="shared" ref="K25:K31" si="65">H25-J25</f>
        <v>90.27000000000001</v>
      </c>
      <c r="L25" s="55">
        <f t="shared" ref="L25:L31" si="66">+K25/G25*100</f>
        <v>127.03349282296652</v>
      </c>
      <c r="M25" s="37">
        <f t="shared" ref="M25:M31" si="67">+H25</f>
        <v>106.2</v>
      </c>
      <c r="N25" s="56">
        <v>0.23200000000000001</v>
      </c>
      <c r="O25" s="37">
        <f t="shared" si="43"/>
        <v>24.64</v>
      </c>
      <c r="P25" s="158">
        <f t="shared" si="44"/>
        <v>81.56</v>
      </c>
      <c r="Q25" s="165">
        <f t="shared" si="45"/>
        <v>114.77624542640021</v>
      </c>
      <c r="R25" s="28"/>
      <c r="S25" s="29">
        <f t="shared" si="46"/>
        <v>457</v>
      </c>
      <c r="T25" s="57">
        <f t="shared" si="47"/>
        <v>32474.420000000002</v>
      </c>
      <c r="U25" s="42">
        <f t="shared" si="48"/>
        <v>389693.04000000004</v>
      </c>
      <c r="V25" s="42">
        <f t="shared" si="49"/>
        <v>41253.390000000007</v>
      </c>
      <c r="W25" s="42">
        <f t="shared" si="50"/>
        <v>495040.68000000005</v>
      </c>
      <c r="X25" s="42">
        <f t="shared" si="51"/>
        <v>37272.92</v>
      </c>
      <c r="Y25" s="42">
        <f t="shared" ref="Y25:Y31" si="68">X25*12</f>
        <v>447275.04</v>
      </c>
      <c r="AA25" s="42">
        <f t="shared" si="52"/>
        <v>8778.9700000000048</v>
      </c>
      <c r="AB25" s="42">
        <f t="shared" ref="AB25:AB31" si="69">AA25*12</f>
        <v>105347.64000000006</v>
      </c>
      <c r="AC25" s="42">
        <f t="shared" si="53"/>
        <v>4798.4999999999964</v>
      </c>
      <c r="AD25" s="43">
        <f t="shared" ref="AD25:AD31" si="70">AC25*12</f>
        <v>57581.999999999956</v>
      </c>
      <c r="AF25" s="38">
        <f t="shared" ref="AF25:AF31" si="71">+N25</f>
        <v>0.23200000000000001</v>
      </c>
      <c r="AG25" s="37">
        <f t="shared" si="54"/>
        <v>24.638400000000001</v>
      </c>
      <c r="AH25" s="58">
        <f t="shared" si="55"/>
        <v>81.561599999999999</v>
      </c>
      <c r="AI25" s="59">
        <v>0.15</v>
      </c>
      <c r="AJ25" s="37">
        <f t="shared" si="56"/>
        <v>13.540500000000002</v>
      </c>
      <c r="AK25" s="58">
        <f t="shared" si="57"/>
        <v>76.729500000000002</v>
      </c>
      <c r="AM25" s="60">
        <f t="shared" si="58"/>
        <v>21.318000000000001</v>
      </c>
      <c r="AN25" s="61">
        <f t="shared" si="59"/>
        <v>62.281999999999996</v>
      </c>
      <c r="AO25" s="60">
        <f t="shared" si="60"/>
        <v>24.468</v>
      </c>
      <c r="AP25" s="58">
        <f t="shared" si="61"/>
        <v>81.731999999999999</v>
      </c>
      <c r="AQ25" s="62">
        <f t="shared" ref="AQ25:AQ31" si="72">725*0.47</f>
        <v>340.75</v>
      </c>
      <c r="AR25" s="62">
        <f t="shared" ref="AR25:AR31" si="73">AQ25*AN25</f>
        <v>21222.591499999999</v>
      </c>
      <c r="AS25" s="63">
        <f t="shared" ref="AS25:AS31" si="74">AQ25*AP25</f>
        <v>27850.179</v>
      </c>
    </row>
    <row r="26" spans="1:45" x14ac:dyDescent="0.25">
      <c r="A26" s="22" t="s">
        <v>59</v>
      </c>
      <c r="B26" s="33">
        <v>0.3</v>
      </c>
      <c r="C26" s="34">
        <v>9.2999999999999999E-2</v>
      </c>
      <c r="D26" s="37">
        <f t="shared" si="62"/>
        <v>125.4</v>
      </c>
      <c r="E26" s="54">
        <v>0.15</v>
      </c>
      <c r="F26" s="37">
        <f t="shared" si="63"/>
        <v>18.809999999999999</v>
      </c>
      <c r="G26" s="36">
        <f t="shared" si="40"/>
        <v>106.59</v>
      </c>
      <c r="H26" s="37">
        <f t="shared" si="64"/>
        <v>159.30000000000001</v>
      </c>
      <c r="I26" s="38">
        <f t="shared" si="41"/>
        <v>0.15</v>
      </c>
      <c r="J26" s="39">
        <f t="shared" si="42"/>
        <v>23.895</v>
      </c>
      <c r="K26" s="36">
        <f t="shared" si="65"/>
        <v>135.405</v>
      </c>
      <c r="L26" s="55">
        <f t="shared" si="66"/>
        <v>127.03349282296649</v>
      </c>
      <c r="M26" s="37">
        <f t="shared" si="67"/>
        <v>159.30000000000001</v>
      </c>
      <c r="N26" s="56">
        <v>0.23200000000000001</v>
      </c>
      <c r="O26" s="37">
        <f t="shared" si="43"/>
        <v>36.96</v>
      </c>
      <c r="P26" s="158">
        <f t="shared" si="44"/>
        <v>122.34</v>
      </c>
      <c r="Q26" s="165">
        <f t="shared" si="45"/>
        <v>114.77624542640021</v>
      </c>
      <c r="R26" s="28"/>
      <c r="S26" s="29">
        <f t="shared" si="46"/>
        <v>531</v>
      </c>
      <c r="T26" s="57">
        <f t="shared" si="47"/>
        <v>56599.29</v>
      </c>
      <c r="U26" s="42">
        <f t="shared" si="48"/>
        <v>679191.48</v>
      </c>
      <c r="V26" s="42">
        <f t="shared" si="49"/>
        <v>71900.055000000008</v>
      </c>
      <c r="W26" s="42">
        <f t="shared" si="50"/>
        <v>862800.66000000015</v>
      </c>
      <c r="X26" s="42">
        <f t="shared" si="51"/>
        <v>64962.54</v>
      </c>
      <c r="Y26" s="42">
        <f t="shared" si="68"/>
        <v>779550.48</v>
      </c>
      <c r="AA26" s="42">
        <f t="shared" si="52"/>
        <v>15300.765000000007</v>
      </c>
      <c r="AB26" s="42">
        <f t="shared" si="69"/>
        <v>183609.18000000008</v>
      </c>
      <c r="AC26" s="42">
        <f t="shared" si="53"/>
        <v>8363.25</v>
      </c>
      <c r="AD26" s="43">
        <f t="shared" si="70"/>
        <v>100359</v>
      </c>
      <c r="AF26" s="38">
        <f t="shared" si="71"/>
        <v>0.23200000000000001</v>
      </c>
      <c r="AG26" s="37">
        <f t="shared" si="54"/>
        <v>36.957600000000006</v>
      </c>
      <c r="AH26" s="58">
        <f t="shared" si="55"/>
        <v>122.3424</v>
      </c>
      <c r="AI26" s="59">
        <v>0.15</v>
      </c>
      <c r="AJ26" s="37">
        <f t="shared" si="56"/>
        <v>20.310749999999999</v>
      </c>
      <c r="AK26" s="58">
        <f t="shared" si="57"/>
        <v>115.09425</v>
      </c>
      <c r="AM26" s="60">
        <f t="shared" si="58"/>
        <v>31.977</v>
      </c>
      <c r="AN26" s="61">
        <f t="shared" si="59"/>
        <v>93.423000000000002</v>
      </c>
      <c r="AO26" s="60">
        <f t="shared" si="60"/>
        <v>36.701999999999998</v>
      </c>
      <c r="AP26" s="58">
        <f t="shared" si="61"/>
        <v>122.59800000000001</v>
      </c>
      <c r="AQ26" s="62">
        <f t="shared" si="72"/>
        <v>340.75</v>
      </c>
      <c r="AR26" s="62">
        <f t="shared" si="73"/>
        <v>31833.88725</v>
      </c>
      <c r="AS26" s="63">
        <f t="shared" si="74"/>
        <v>41775.268500000006</v>
      </c>
    </row>
    <row r="27" spans="1:45" x14ac:dyDescent="0.25">
      <c r="A27" s="22" t="s">
        <v>60</v>
      </c>
      <c r="B27" s="33">
        <v>0.35</v>
      </c>
      <c r="C27" s="34">
        <v>0.157</v>
      </c>
      <c r="D27" s="37">
        <f t="shared" si="62"/>
        <v>146.30000000000001</v>
      </c>
      <c r="E27" s="54">
        <v>0.125</v>
      </c>
      <c r="F27" s="37">
        <f t="shared" si="63"/>
        <v>18.29</v>
      </c>
      <c r="G27" s="36">
        <f t="shared" si="40"/>
        <v>128.01000000000002</v>
      </c>
      <c r="H27" s="37">
        <f t="shared" si="64"/>
        <v>185.85</v>
      </c>
      <c r="I27" s="38">
        <f t="shared" si="41"/>
        <v>0.125</v>
      </c>
      <c r="J27" s="39">
        <f t="shared" si="42"/>
        <v>23.231249999999999</v>
      </c>
      <c r="K27" s="36">
        <f t="shared" si="65"/>
        <v>162.61875000000001</v>
      </c>
      <c r="L27" s="55">
        <f t="shared" si="66"/>
        <v>127.03597375205061</v>
      </c>
      <c r="M27" s="37">
        <f t="shared" si="67"/>
        <v>185.85</v>
      </c>
      <c r="N27" s="56">
        <v>0.20899999999999999</v>
      </c>
      <c r="O27" s="37">
        <f t="shared" si="43"/>
        <v>38.840000000000003</v>
      </c>
      <c r="P27" s="158">
        <f t="shared" si="44"/>
        <v>147.01</v>
      </c>
      <c r="Q27" s="165">
        <f t="shared" si="45"/>
        <v>114.84259042262322</v>
      </c>
      <c r="R27" s="28"/>
      <c r="S27" s="29">
        <f t="shared" si="46"/>
        <v>896</v>
      </c>
      <c r="T27" s="57">
        <f t="shared" si="47"/>
        <v>114696.96000000002</v>
      </c>
      <c r="U27" s="42">
        <f t="shared" si="48"/>
        <v>1376363.5200000003</v>
      </c>
      <c r="V27" s="42">
        <f t="shared" si="49"/>
        <v>145706.4</v>
      </c>
      <c r="W27" s="42">
        <f t="shared" si="50"/>
        <v>1748476.7999999998</v>
      </c>
      <c r="X27" s="42">
        <f t="shared" si="51"/>
        <v>131720.95999999999</v>
      </c>
      <c r="Y27" s="42">
        <f t="shared" si="68"/>
        <v>1580651.52</v>
      </c>
      <c r="AA27" s="42">
        <f t="shared" si="52"/>
        <v>31009.439999999973</v>
      </c>
      <c r="AB27" s="42">
        <f t="shared" si="69"/>
        <v>372113.27999999968</v>
      </c>
      <c r="AC27" s="42">
        <f t="shared" si="53"/>
        <v>17023.999999999971</v>
      </c>
      <c r="AD27" s="43">
        <f t="shared" si="70"/>
        <v>204287.99999999965</v>
      </c>
      <c r="AF27" s="38">
        <f t="shared" si="71"/>
        <v>0.20899999999999999</v>
      </c>
      <c r="AG27" s="37">
        <f t="shared" si="54"/>
        <v>38.842649999999999</v>
      </c>
      <c r="AH27" s="58">
        <f t="shared" si="55"/>
        <v>147.00735</v>
      </c>
      <c r="AI27" s="59">
        <v>0.125</v>
      </c>
      <c r="AJ27" s="37">
        <f t="shared" si="56"/>
        <v>20.327343750000001</v>
      </c>
      <c r="AK27" s="58">
        <f t="shared" si="57"/>
        <v>142.29140624999999</v>
      </c>
      <c r="AM27" s="60">
        <f t="shared" si="58"/>
        <v>38.403000000000006</v>
      </c>
      <c r="AN27" s="61">
        <f t="shared" si="59"/>
        <v>107.89700000000001</v>
      </c>
      <c r="AO27" s="60">
        <f t="shared" si="60"/>
        <v>44.102999999999994</v>
      </c>
      <c r="AP27" s="58">
        <f t="shared" si="61"/>
        <v>141.74700000000001</v>
      </c>
      <c r="AQ27" s="62">
        <f t="shared" si="72"/>
        <v>340.75</v>
      </c>
      <c r="AR27" s="62">
        <f t="shared" si="73"/>
        <v>36765.902750000001</v>
      </c>
      <c r="AS27" s="63">
        <f t="shared" si="74"/>
        <v>48300.290250000005</v>
      </c>
    </row>
    <row r="28" spans="1:45" x14ac:dyDescent="0.25">
      <c r="A28" s="22" t="s">
        <v>61</v>
      </c>
      <c r="B28" s="33">
        <v>0.43</v>
      </c>
      <c r="C28" s="34">
        <v>0.13600000000000001</v>
      </c>
      <c r="D28" s="37">
        <f t="shared" si="62"/>
        <v>179.74</v>
      </c>
      <c r="E28" s="54">
        <v>0.125</v>
      </c>
      <c r="F28" s="37">
        <f t="shared" si="63"/>
        <v>22.47</v>
      </c>
      <c r="G28" s="36">
        <f t="shared" si="40"/>
        <v>157.27000000000001</v>
      </c>
      <c r="H28" s="37">
        <f t="shared" si="64"/>
        <v>228.33</v>
      </c>
      <c r="I28" s="38">
        <f t="shared" si="41"/>
        <v>0.125</v>
      </c>
      <c r="J28" s="39">
        <f t="shared" si="42"/>
        <v>28.541250000000002</v>
      </c>
      <c r="K28" s="36">
        <f t="shared" si="65"/>
        <v>199.78875000000002</v>
      </c>
      <c r="L28" s="55">
        <f t="shared" si="66"/>
        <v>127.03551217651174</v>
      </c>
      <c r="M28" s="37">
        <f t="shared" si="67"/>
        <v>228.33</v>
      </c>
      <c r="N28" s="56">
        <v>0.20899999999999999</v>
      </c>
      <c r="O28" s="37">
        <f t="shared" si="43"/>
        <v>47.72</v>
      </c>
      <c r="P28" s="158">
        <f t="shared" si="44"/>
        <v>180.61</v>
      </c>
      <c r="Q28" s="165">
        <f t="shared" si="45"/>
        <v>114.84071978126789</v>
      </c>
      <c r="R28" s="28"/>
      <c r="S28" s="29">
        <f t="shared" si="46"/>
        <v>776</v>
      </c>
      <c r="T28" s="57">
        <f t="shared" si="47"/>
        <v>122041.52</v>
      </c>
      <c r="U28" s="42">
        <f t="shared" si="48"/>
        <v>1464498.24</v>
      </c>
      <c r="V28" s="42">
        <f t="shared" si="49"/>
        <v>155036.07</v>
      </c>
      <c r="W28" s="42">
        <f t="shared" si="50"/>
        <v>1860432.84</v>
      </c>
      <c r="X28" s="42">
        <f t="shared" si="51"/>
        <v>140153.36000000002</v>
      </c>
      <c r="Y28" s="42">
        <f t="shared" si="68"/>
        <v>1681840.3200000003</v>
      </c>
      <c r="AA28" s="42">
        <f t="shared" si="52"/>
        <v>32994.550000000003</v>
      </c>
      <c r="AB28" s="42">
        <f t="shared" si="69"/>
        <v>395934.60000000003</v>
      </c>
      <c r="AC28" s="42">
        <f t="shared" si="53"/>
        <v>18111.840000000011</v>
      </c>
      <c r="AD28" s="43">
        <f t="shared" si="70"/>
        <v>217342.08000000013</v>
      </c>
      <c r="AF28" s="38">
        <f t="shared" si="71"/>
        <v>0.20899999999999999</v>
      </c>
      <c r="AG28" s="37">
        <f t="shared" si="54"/>
        <v>47.720970000000001</v>
      </c>
      <c r="AH28" s="58">
        <f t="shared" si="55"/>
        <v>180.60903000000002</v>
      </c>
      <c r="AI28" s="59">
        <v>0.125</v>
      </c>
      <c r="AJ28" s="37">
        <f t="shared" si="56"/>
        <v>24.973593750000003</v>
      </c>
      <c r="AK28" s="58">
        <f t="shared" si="57"/>
        <v>174.81515625000003</v>
      </c>
      <c r="AM28" s="60">
        <f t="shared" si="58"/>
        <v>47.181000000000004</v>
      </c>
      <c r="AN28" s="61">
        <f t="shared" si="59"/>
        <v>132.559</v>
      </c>
      <c r="AO28" s="60">
        <f t="shared" si="60"/>
        <v>54.183</v>
      </c>
      <c r="AP28" s="58">
        <f t="shared" si="61"/>
        <v>174.14700000000002</v>
      </c>
      <c r="AQ28" s="62">
        <f t="shared" si="72"/>
        <v>340.75</v>
      </c>
      <c r="AR28" s="62">
        <f t="shared" si="73"/>
        <v>45169.479249999997</v>
      </c>
      <c r="AS28" s="63">
        <f t="shared" si="74"/>
        <v>59340.590250000008</v>
      </c>
    </row>
    <row r="29" spans="1:45" x14ac:dyDescent="0.25">
      <c r="A29" s="22" t="s">
        <v>62</v>
      </c>
      <c r="B29" s="33">
        <v>0.53</v>
      </c>
      <c r="C29" s="34">
        <v>0.158</v>
      </c>
      <c r="D29" s="37">
        <f t="shared" si="62"/>
        <v>221.54</v>
      </c>
      <c r="E29" s="54">
        <v>0.125</v>
      </c>
      <c r="F29" s="37">
        <f t="shared" si="63"/>
        <v>27.69</v>
      </c>
      <c r="G29" s="36">
        <f t="shared" si="40"/>
        <v>193.85</v>
      </c>
      <c r="H29" s="37">
        <f t="shared" si="64"/>
        <v>281.43</v>
      </c>
      <c r="I29" s="38">
        <f t="shared" si="41"/>
        <v>0.125</v>
      </c>
      <c r="J29" s="39">
        <f t="shared" si="42"/>
        <v>35.178750000000001</v>
      </c>
      <c r="K29" s="36">
        <f t="shared" si="65"/>
        <v>246.25125</v>
      </c>
      <c r="L29" s="55">
        <f t="shared" si="66"/>
        <v>127.03185452669589</v>
      </c>
      <c r="M29" s="37">
        <f t="shared" si="67"/>
        <v>281.43</v>
      </c>
      <c r="N29" s="56">
        <v>0.20899999999999999</v>
      </c>
      <c r="O29" s="37">
        <f t="shared" si="43"/>
        <v>58.82</v>
      </c>
      <c r="P29" s="158">
        <f t="shared" si="44"/>
        <v>222.61</v>
      </c>
      <c r="Q29" s="165">
        <f t="shared" si="45"/>
        <v>114.83621356719114</v>
      </c>
      <c r="R29" s="28"/>
      <c r="S29" s="29">
        <f t="shared" si="46"/>
        <v>902</v>
      </c>
      <c r="T29" s="57">
        <f t="shared" si="47"/>
        <v>174852.69999999998</v>
      </c>
      <c r="U29" s="42">
        <f t="shared" si="48"/>
        <v>2098232.4</v>
      </c>
      <c r="V29" s="42">
        <f t="shared" si="49"/>
        <v>222118.6275</v>
      </c>
      <c r="W29" s="42">
        <f t="shared" si="50"/>
        <v>2665423.5300000003</v>
      </c>
      <c r="X29" s="42">
        <f t="shared" si="51"/>
        <v>200794.22</v>
      </c>
      <c r="Y29" s="42">
        <f t="shared" si="68"/>
        <v>2409530.64</v>
      </c>
      <c r="AA29" s="42">
        <f t="shared" si="52"/>
        <v>47265.92750000002</v>
      </c>
      <c r="AB29" s="42">
        <f t="shared" si="69"/>
        <v>567191.13000000024</v>
      </c>
      <c r="AC29" s="42">
        <f t="shared" si="53"/>
        <v>25941.520000000019</v>
      </c>
      <c r="AD29" s="43">
        <f t="shared" si="70"/>
        <v>311298.24000000022</v>
      </c>
      <c r="AF29" s="38">
        <f t="shared" si="71"/>
        <v>0.20899999999999999</v>
      </c>
      <c r="AG29" s="37">
        <f t="shared" si="54"/>
        <v>58.818869999999997</v>
      </c>
      <c r="AH29" s="58">
        <f t="shared" si="55"/>
        <v>222.61113</v>
      </c>
      <c r="AI29" s="59">
        <v>0.125</v>
      </c>
      <c r="AJ29" s="37">
        <f t="shared" si="56"/>
        <v>30.78140625</v>
      </c>
      <c r="AK29" s="58">
        <f t="shared" si="57"/>
        <v>215.46984375</v>
      </c>
      <c r="AM29" s="60">
        <f t="shared" si="58"/>
        <v>58.154999999999994</v>
      </c>
      <c r="AN29" s="61">
        <f t="shared" si="59"/>
        <v>163.38499999999999</v>
      </c>
      <c r="AO29" s="60">
        <f t="shared" si="60"/>
        <v>66.783000000000001</v>
      </c>
      <c r="AP29" s="58">
        <f t="shared" si="61"/>
        <v>214.64699999999999</v>
      </c>
      <c r="AQ29" s="62">
        <f t="shared" si="72"/>
        <v>340.75</v>
      </c>
      <c r="AR29" s="62">
        <f t="shared" si="73"/>
        <v>55673.438749999994</v>
      </c>
      <c r="AS29" s="63">
        <f t="shared" si="74"/>
        <v>73140.965249999994</v>
      </c>
    </row>
    <row r="30" spans="1:45" x14ac:dyDescent="0.25">
      <c r="A30" s="22" t="s">
        <v>63</v>
      </c>
      <c r="B30" s="33">
        <v>0.66</v>
      </c>
      <c r="C30" s="34">
        <v>8.3000000000000004E-2</v>
      </c>
      <c r="D30" s="37">
        <f t="shared" si="62"/>
        <v>275.88</v>
      </c>
      <c r="E30" s="54">
        <v>0.125</v>
      </c>
      <c r="F30" s="37">
        <f t="shared" si="63"/>
        <v>34.49</v>
      </c>
      <c r="G30" s="36">
        <f t="shared" si="40"/>
        <v>241.39</v>
      </c>
      <c r="H30" s="37">
        <f t="shared" si="64"/>
        <v>350.46</v>
      </c>
      <c r="I30" s="38">
        <f t="shared" si="41"/>
        <v>0.125</v>
      </c>
      <c r="J30" s="39">
        <f t="shared" si="42"/>
        <v>43.807499999999997</v>
      </c>
      <c r="K30" s="36">
        <f t="shared" si="65"/>
        <v>306.65249999999997</v>
      </c>
      <c r="L30" s="55">
        <f t="shared" si="66"/>
        <v>127.03612411450349</v>
      </c>
      <c r="M30" s="37">
        <f t="shared" si="67"/>
        <v>350.46</v>
      </c>
      <c r="N30" s="56">
        <v>0.20899999999999999</v>
      </c>
      <c r="O30" s="37">
        <f t="shared" si="43"/>
        <v>73.25</v>
      </c>
      <c r="P30" s="158">
        <f t="shared" si="44"/>
        <v>277.20999999999998</v>
      </c>
      <c r="Q30" s="165">
        <f t="shared" si="45"/>
        <v>114.83905712747007</v>
      </c>
      <c r="R30" s="28"/>
      <c r="S30" s="29">
        <f t="shared" si="46"/>
        <v>474</v>
      </c>
      <c r="T30" s="57">
        <f t="shared" si="47"/>
        <v>114418.86</v>
      </c>
      <c r="U30" s="42">
        <f t="shared" si="48"/>
        <v>1373026.32</v>
      </c>
      <c r="V30" s="42">
        <f t="shared" si="49"/>
        <v>145353.28499999997</v>
      </c>
      <c r="W30" s="42">
        <f t="shared" si="50"/>
        <v>1744239.4199999997</v>
      </c>
      <c r="X30" s="42">
        <f t="shared" si="51"/>
        <v>131397.53999999998</v>
      </c>
      <c r="Y30" s="42">
        <f t="shared" si="68"/>
        <v>1576770.4799999997</v>
      </c>
      <c r="AA30" s="42">
        <f t="shared" si="52"/>
        <v>30934.424999999974</v>
      </c>
      <c r="AB30" s="42">
        <f t="shared" si="69"/>
        <v>371213.09999999969</v>
      </c>
      <c r="AC30" s="42">
        <f t="shared" si="53"/>
        <v>16978.679999999978</v>
      </c>
      <c r="AD30" s="43">
        <f t="shared" si="70"/>
        <v>203744.15999999974</v>
      </c>
      <c r="AF30" s="38">
        <f t="shared" si="71"/>
        <v>0.20899999999999999</v>
      </c>
      <c r="AG30" s="37">
        <f t="shared" si="54"/>
        <v>73.246139999999997</v>
      </c>
      <c r="AH30" s="58">
        <f t="shared" si="55"/>
        <v>277.21385999999995</v>
      </c>
      <c r="AI30" s="59">
        <v>0.125</v>
      </c>
      <c r="AJ30" s="37">
        <f t="shared" si="56"/>
        <v>38.331562499999997</v>
      </c>
      <c r="AK30" s="58">
        <f t="shared" si="57"/>
        <v>268.32093749999996</v>
      </c>
      <c r="AM30" s="60">
        <f t="shared" si="58"/>
        <v>72.416999999999987</v>
      </c>
      <c r="AN30" s="61">
        <f t="shared" si="59"/>
        <v>203.46300000000002</v>
      </c>
      <c r="AO30" s="60">
        <f t="shared" si="60"/>
        <v>83.162999999999997</v>
      </c>
      <c r="AP30" s="58">
        <f t="shared" si="61"/>
        <v>267.29699999999997</v>
      </c>
      <c r="AQ30" s="62">
        <f t="shared" si="72"/>
        <v>340.75</v>
      </c>
      <c r="AR30" s="62">
        <f t="shared" si="73"/>
        <v>69330.017250000004</v>
      </c>
      <c r="AS30" s="63">
        <f t="shared" si="74"/>
        <v>91081.452749999982</v>
      </c>
    </row>
    <row r="31" spans="1:45" ht="16.5" thickBot="1" x14ac:dyDescent="0.3">
      <c r="A31" s="22" t="s">
        <v>64</v>
      </c>
      <c r="B31" s="33">
        <v>0.77</v>
      </c>
      <c r="C31" s="34">
        <v>0.124</v>
      </c>
      <c r="D31" s="37">
        <f t="shared" si="62"/>
        <v>321.86</v>
      </c>
      <c r="E31" s="54">
        <v>0.125</v>
      </c>
      <c r="F31" s="37">
        <f t="shared" si="63"/>
        <v>40.229999999999997</v>
      </c>
      <c r="G31" s="36">
        <f t="shared" si="40"/>
        <v>281.63</v>
      </c>
      <c r="H31" s="37">
        <f t="shared" si="64"/>
        <v>408.87</v>
      </c>
      <c r="I31" s="38">
        <f t="shared" si="41"/>
        <v>0.125</v>
      </c>
      <c r="J31" s="39">
        <f t="shared" si="42"/>
        <v>51.108750000000001</v>
      </c>
      <c r="K31" s="36">
        <f t="shared" si="65"/>
        <v>357.76125000000002</v>
      </c>
      <c r="L31" s="55">
        <f t="shared" si="66"/>
        <v>127.03236515996166</v>
      </c>
      <c r="M31" s="37">
        <f t="shared" si="67"/>
        <v>408.87</v>
      </c>
      <c r="N31" s="56">
        <v>0.20899999999999999</v>
      </c>
      <c r="O31" s="37">
        <f t="shared" si="43"/>
        <v>85.45</v>
      </c>
      <c r="P31" s="158">
        <f t="shared" si="44"/>
        <v>323.42</v>
      </c>
      <c r="Q31" s="165">
        <f t="shared" si="45"/>
        <v>114.83861804495261</v>
      </c>
      <c r="R31" s="28"/>
      <c r="S31" s="29">
        <f t="shared" si="46"/>
        <v>708</v>
      </c>
      <c r="T31" s="57">
        <f t="shared" si="47"/>
        <v>199394.04</v>
      </c>
      <c r="U31" s="42">
        <f t="shared" si="48"/>
        <v>2392728.48</v>
      </c>
      <c r="V31" s="42">
        <f t="shared" si="49"/>
        <v>253294.96500000003</v>
      </c>
      <c r="W31" s="42">
        <f t="shared" si="50"/>
        <v>3039539.58</v>
      </c>
      <c r="X31" s="42">
        <f t="shared" si="51"/>
        <v>228981.36000000002</v>
      </c>
      <c r="Y31" s="42">
        <f t="shared" si="68"/>
        <v>2747776.3200000003</v>
      </c>
      <c r="AA31" s="42">
        <f t="shared" si="52"/>
        <v>53900.925000000017</v>
      </c>
      <c r="AB31" s="42">
        <f t="shared" si="69"/>
        <v>646811.10000000021</v>
      </c>
      <c r="AC31" s="42">
        <f t="shared" si="53"/>
        <v>29587.320000000007</v>
      </c>
      <c r="AD31" s="43">
        <f t="shared" si="70"/>
        <v>355047.84000000008</v>
      </c>
      <c r="AF31" s="38">
        <f t="shared" si="71"/>
        <v>0.20899999999999999</v>
      </c>
      <c r="AG31" s="64">
        <f t="shared" si="54"/>
        <v>85.453829999999996</v>
      </c>
      <c r="AH31" s="65">
        <f t="shared" si="55"/>
        <v>323.41617000000002</v>
      </c>
      <c r="AI31" s="66">
        <v>0.125</v>
      </c>
      <c r="AJ31" s="64">
        <f t="shared" si="56"/>
        <v>44.720156250000002</v>
      </c>
      <c r="AK31" s="65">
        <f t="shared" si="57"/>
        <v>313.04109375000002</v>
      </c>
      <c r="AM31" s="87">
        <f t="shared" si="58"/>
        <v>84.48899999999999</v>
      </c>
      <c r="AN31" s="88">
        <f t="shared" si="59"/>
        <v>237.37100000000004</v>
      </c>
      <c r="AO31" s="87">
        <f t="shared" si="60"/>
        <v>97.025999999999996</v>
      </c>
      <c r="AP31" s="65">
        <f t="shared" si="61"/>
        <v>311.84399999999999</v>
      </c>
      <c r="AQ31" s="62">
        <f t="shared" si="72"/>
        <v>340.75</v>
      </c>
      <c r="AR31" s="62">
        <f t="shared" si="73"/>
        <v>80884.168250000017</v>
      </c>
      <c r="AS31" s="70">
        <f t="shared" si="74"/>
        <v>106260.84299999999</v>
      </c>
    </row>
    <row r="32" spans="1:45" ht="16.5" thickBot="1" x14ac:dyDescent="0.3">
      <c r="S32" s="29">
        <f t="shared" ref="S32:U32" si="75">SUM(S23:S31)</f>
        <v>5701</v>
      </c>
      <c r="T32" s="71">
        <f t="shared" ref="T32" si="76">SUM(T23:T31)</f>
        <v>842653.08000000007</v>
      </c>
      <c r="U32" s="71">
        <f t="shared" si="75"/>
        <v>10111836.960000001</v>
      </c>
      <c r="V32" s="71">
        <f t="shared" ref="V32:W32" si="77">SUM(V23:V31)</f>
        <v>1070454.8475000001</v>
      </c>
      <c r="W32" s="71">
        <f t="shared" si="77"/>
        <v>12845458.17</v>
      </c>
      <c r="X32" s="71">
        <f>SUM(X23:X31)</f>
        <v>967621.43999999983</v>
      </c>
      <c r="Y32" s="71">
        <f>SUM(Y23:Y31)</f>
        <v>11611457.280000001</v>
      </c>
      <c r="AA32" s="71">
        <f t="shared" ref="AA32:AB32" si="78">SUM(AA23:AA31)</f>
        <v>227801.76749999999</v>
      </c>
      <c r="AB32" s="71">
        <f t="shared" si="78"/>
        <v>2733621.21</v>
      </c>
      <c r="AC32" s="71">
        <f>SUM(AC23:AC31)</f>
        <v>124968.35999999999</v>
      </c>
      <c r="AD32" s="72">
        <f>SUM(AD23:AD31)</f>
        <v>1499620.3199999998</v>
      </c>
      <c r="AF32" s="28"/>
      <c r="AG32" s="28"/>
      <c r="AH32" s="28"/>
      <c r="AI32" s="28"/>
      <c r="AJ32" s="28"/>
      <c r="AK32" s="28"/>
      <c r="AL32" s="28"/>
      <c r="AM32" s="89">
        <f>SUM(AM24:AM31)</f>
        <v>364.59899999999999</v>
      </c>
      <c r="AN32" s="90">
        <f>SUM(AN24:AN31)</f>
        <v>1031.5210000000002</v>
      </c>
      <c r="AO32" s="90">
        <f t="shared" ref="AO32:AQ32" si="79">SUM(AO24:AO31)</f>
        <v>418.66200000000003</v>
      </c>
      <c r="AP32" s="90">
        <f t="shared" si="79"/>
        <v>1354.8780000000002</v>
      </c>
      <c r="AQ32" s="91">
        <f t="shared" si="79"/>
        <v>2726</v>
      </c>
      <c r="AR32" s="76">
        <f>SUM(AR24:AR31)</f>
        <v>351490.78075000003</v>
      </c>
      <c r="AS32" s="92">
        <f t="shared" ref="AS32" si="80">SUM(AS24:AS31)</f>
        <v>461674.67850000004</v>
      </c>
    </row>
    <row r="33" spans="1:47" ht="0.75" customHeight="1" thickBot="1" x14ac:dyDescent="0.3">
      <c r="P33" s="159">
        <f>+P31-G31</f>
        <v>41.79000000000002</v>
      </c>
      <c r="S33" s="78" t="s">
        <v>65</v>
      </c>
      <c r="T33" s="71">
        <f>+T32*0.9</f>
        <v>758387.77200000011</v>
      </c>
      <c r="U33" s="71">
        <f>+U32*0.9</f>
        <v>9100653.2640000004</v>
      </c>
      <c r="V33" s="71">
        <f t="shared" ref="V33:Y33" si="81">+V32*0.9</f>
        <v>963409.3627500002</v>
      </c>
      <c r="W33" s="71">
        <f t="shared" si="81"/>
        <v>11560912.353</v>
      </c>
      <c r="X33" s="71">
        <f t="shared" si="81"/>
        <v>870859.29599999986</v>
      </c>
      <c r="Y33" s="71">
        <f t="shared" si="81"/>
        <v>10450311.552000001</v>
      </c>
      <c r="AA33" s="71">
        <f t="shared" ref="AA33:AD33" si="82">+AA32*0.9</f>
        <v>205021.59075</v>
      </c>
      <c r="AB33" s="71">
        <f t="shared" si="82"/>
        <v>2460259.0890000002</v>
      </c>
      <c r="AC33" s="71">
        <f t="shared" si="82"/>
        <v>112471.52399999999</v>
      </c>
      <c r="AD33" s="71">
        <f t="shared" si="82"/>
        <v>1349658.2879999999</v>
      </c>
      <c r="AF33" s="28"/>
      <c r="AG33" s="28"/>
      <c r="AH33" s="28"/>
      <c r="AI33" s="28"/>
      <c r="AJ33" s="28"/>
      <c r="AK33" s="28"/>
      <c r="AL33" s="28"/>
      <c r="AM33" s="80"/>
      <c r="AN33" s="80"/>
      <c r="AQ33" s="80"/>
      <c r="AR33" s="80"/>
      <c r="AS33" s="80"/>
    </row>
    <row r="34" spans="1:47" ht="106.5" hidden="1" customHeight="1" x14ac:dyDescent="0.25">
      <c r="A34" s="4"/>
      <c r="S34" s="31"/>
      <c r="T34" s="31"/>
      <c r="U34" s="93"/>
      <c r="V34" s="93"/>
      <c r="W34" s="93"/>
      <c r="X34" s="94"/>
      <c r="Y34" s="95"/>
      <c r="AM34" s="80"/>
      <c r="AN34" s="80"/>
      <c r="AQ34" s="80"/>
      <c r="AR34" s="80"/>
      <c r="AS34" s="80"/>
    </row>
    <row r="35" spans="1:47" s="6" customFormat="1" ht="66.75" customHeight="1" thickBot="1" x14ac:dyDescent="0.3">
      <c r="A35" s="186" t="s">
        <v>67</v>
      </c>
      <c r="B35" s="186"/>
      <c r="C35" s="186"/>
      <c r="D35" s="187" t="s">
        <v>2</v>
      </c>
      <c r="E35" s="187"/>
      <c r="F35" s="187"/>
      <c r="G35" s="187"/>
      <c r="H35" s="187" t="s">
        <v>3</v>
      </c>
      <c r="I35" s="187"/>
      <c r="J35" s="187"/>
      <c r="K35" s="187"/>
      <c r="L35" s="187"/>
      <c r="M35" s="187" t="s">
        <v>4</v>
      </c>
      <c r="N35" s="187"/>
      <c r="O35" s="187"/>
      <c r="P35" s="187"/>
      <c r="Q35" s="187"/>
      <c r="T35" s="177" t="s">
        <v>5</v>
      </c>
      <c r="U35" s="179"/>
      <c r="V35" s="177" t="s">
        <v>6</v>
      </c>
      <c r="W35" s="179"/>
      <c r="X35" s="177" t="s">
        <v>7</v>
      </c>
      <c r="Y35" s="179"/>
      <c r="AA35" s="177" t="s">
        <v>6</v>
      </c>
      <c r="AB35" s="179"/>
      <c r="AC35" s="177" t="s">
        <v>7</v>
      </c>
      <c r="AD35" s="179"/>
      <c r="AF35" s="188" t="s">
        <v>8</v>
      </c>
      <c r="AG35" s="189"/>
      <c r="AH35" s="190"/>
      <c r="AI35" s="188" t="s">
        <v>9</v>
      </c>
      <c r="AJ35" s="189"/>
      <c r="AK35" s="190"/>
      <c r="AM35" s="191" t="s">
        <v>10</v>
      </c>
      <c r="AN35" s="192"/>
      <c r="AO35" s="191" t="s">
        <v>11</v>
      </c>
      <c r="AP35" s="193"/>
      <c r="AQ35" s="194" t="s">
        <v>12</v>
      </c>
      <c r="AR35" s="7" t="s">
        <v>13</v>
      </c>
      <c r="AS35" s="8" t="s">
        <v>14</v>
      </c>
    </row>
    <row r="36" spans="1:47" s="15" customFormat="1" ht="119.25" customHeight="1" thickBot="1" x14ac:dyDescent="0.3">
      <c r="A36" s="9"/>
      <c r="B36" s="10" t="s">
        <v>15</v>
      </c>
      <c r="C36" s="10" t="s">
        <v>16</v>
      </c>
      <c r="D36" s="10" t="s">
        <v>17</v>
      </c>
      <c r="E36" s="11" t="s">
        <v>18</v>
      </c>
      <c r="F36" s="10" t="s">
        <v>19</v>
      </c>
      <c r="G36" s="10" t="s">
        <v>20</v>
      </c>
      <c r="H36" s="10" t="s">
        <v>21</v>
      </c>
      <c r="I36" s="10" t="s">
        <v>22</v>
      </c>
      <c r="J36" s="10" t="s">
        <v>23</v>
      </c>
      <c r="K36" s="10" t="s">
        <v>24</v>
      </c>
      <c r="L36" s="12" t="s">
        <v>25</v>
      </c>
      <c r="M36" s="10" t="s">
        <v>88</v>
      </c>
      <c r="N36" s="11" t="s">
        <v>89</v>
      </c>
      <c r="O36" s="10" t="s">
        <v>90</v>
      </c>
      <c r="P36" s="156" t="s">
        <v>91</v>
      </c>
      <c r="Q36" s="163" t="s">
        <v>92</v>
      </c>
      <c r="R36" s="10"/>
      <c r="S36" s="13" t="s">
        <v>26</v>
      </c>
      <c r="T36" s="14" t="s">
        <v>27</v>
      </c>
      <c r="U36" s="14" t="s">
        <v>28</v>
      </c>
      <c r="V36" s="14" t="s">
        <v>29</v>
      </c>
      <c r="W36" s="14" t="s">
        <v>30</v>
      </c>
      <c r="X36" s="14" t="s">
        <v>31</v>
      </c>
      <c r="Y36" s="14" t="s">
        <v>32</v>
      </c>
      <c r="AA36" s="14" t="s">
        <v>29</v>
      </c>
      <c r="AB36" s="14" t="s">
        <v>30</v>
      </c>
      <c r="AC36" s="14" t="s">
        <v>31</v>
      </c>
      <c r="AD36" s="14" t="s">
        <v>32</v>
      </c>
      <c r="AF36" s="16" t="s">
        <v>33</v>
      </c>
      <c r="AG36" s="17" t="s">
        <v>34</v>
      </c>
      <c r="AH36" s="17" t="s">
        <v>35</v>
      </c>
      <c r="AI36" s="16" t="s">
        <v>36</v>
      </c>
      <c r="AJ36" s="17" t="s">
        <v>34</v>
      </c>
      <c r="AK36" s="17" t="s">
        <v>35</v>
      </c>
      <c r="AM36" s="18" t="s">
        <v>35</v>
      </c>
      <c r="AN36" s="19" t="s">
        <v>37</v>
      </c>
      <c r="AO36" s="18" t="s">
        <v>35</v>
      </c>
      <c r="AP36" s="19" t="s">
        <v>37</v>
      </c>
      <c r="AQ36" s="195"/>
      <c r="AR36" s="20" t="s">
        <v>38</v>
      </c>
      <c r="AS36" s="20" t="s">
        <v>38</v>
      </c>
    </row>
    <row r="37" spans="1:47" s="85" customFormat="1" ht="14.25" customHeight="1" x14ac:dyDescent="0.25">
      <c r="A37" s="81"/>
      <c r="B37" s="82">
        <v>1</v>
      </c>
      <c r="C37" s="82">
        <v>2</v>
      </c>
      <c r="D37" s="82">
        <v>3</v>
      </c>
      <c r="E37" s="83">
        <v>4</v>
      </c>
      <c r="F37" s="82" t="s">
        <v>39</v>
      </c>
      <c r="G37" s="82" t="s">
        <v>40</v>
      </c>
      <c r="H37" s="82">
        <v>7</v>
      </c>
      <c r="I37" s="82">
        <v>8</v>
      </c>
      <c r="J37" s="82" t="s">
        <v>41</v>
      </c>
      <c r="K37" s="82" t="s">
        <v>42</v>
      </c>
      <c r="L37" s="82" t="s">
        <v>43</v>
      </c>
      <c r="M37" s="82">
        <v>12</v>
      </c>
      <c r="N37" s="83">
        <v>13</v>
      </c>
      <c r="O37" s="82">
        <v>14</v>
      </c>
      <c r="P37" s="160">
        <v>15</v>
      </c>
      <c r="Q37" s="156" t="s">
        <v>44</v>
      </c>
      <c r="R37" s="84"/>
      <c r="S37" s="84">
        <v>17</v>
      </c>
      <c r="T37" s="84" t="s">
        <v>45</v>
      </c>
      <c r="U37" s="84">
        <v>19</v>
      </c>
      <c r="V37" s="84" t="s">
        <v>46</v>
      </c>
      <c r="W37" s="84">
        <v>21</v>
      </c>
      <c r="X37" s="84" t="s">
        <v>47</v>
      </c>
      <c r="Y37" s="84">
        <v>23</v>
      </c>
      <c r="Z37" s="84"/>
      <c r="AA37" s="84">
        <v>24</v>
      </c>
      <c r="AB37" s="84">
        <v>25</v>
      </c>
      <c r="AC37" s="84">
        <v>26</v>
      </c>
      <c r="AD37" s="84">
        <v>27</v>
      </c>
      <c r="AE37" s="84"/>
      <c r="AF37" s="84">
        <v>28</v>
      </c>
      <c r="AG37" s="84">
        <v>29</v>
      </c>
      <c r="AH37" s="84">
        <v>30</v>
      </c>
      <c r="AI37" s="84">
        <v>31</v>
      </c>
      <c r="AJ37" s="84">
        <v>32</v>
      </c>
      <c r="AK37" s="84">
        <v>33</v>
      </c>
      <c r="AM37" s="84" t="s">
        <v>50</v>
      </c>
      <c r="AN37" s="84" t="s">
        <v>51</v>
      </c>
      <c r="AO37" s="84" t="s">
        <v>52</v>
      </c>
      <c r="AP37" s="84" t="s">
        <v>53</v>
      </c>
      <c r="AQ37" s="84">
        <v>38</v>
      </c>
      <c r="AR37" s="84" t="s">
        <v>54</v>
      </c>
      <c r="AS37" s="84" t="s">
        <v>55</v>
      </c>
    </row>
    <row r="38" spans="1:47" ht="16.5" thickBot="1" x14ac:dyDescent="0.3">
      <c r="A38" s="22"/>
      <c r="B38" s="22"/>
      <c r="C38" s="22"/>
      <c r="D38" s="25">
        <v>446</v>
      </c>
      <c r="E38" s="24"/>
      <c r="F38" s="25"/>
      <c r="G38" s="23"/>
      <c r="H38" s="23">
        <f>ROUND(D38*1.27,0)</f>
        <v>566</v>
      </c>
      <c r="I38" s="22"/>
      <c r="J38" s="22"/>
      <c r="K38" s="26"/>
      <c r="L38" s="26"/>
      <c r="M38" s="23">
        <f>+H38</f>
        <v>566</v>
      </c>
      <c r="N38" s="27"/>
      <c r="O38" s="23"/>
      <c r="P38" s="157"/>
      <c r="Q38" s="164"/>
      <c r="R38" s="28"/>
      <c r="S38" s="29">
        <v>850</v>
      </c>
      <c r="T38" s="30"/>
      <c r="U38" s="31"/>
      <c r="V38" s="31"/>
      <c r="W38" s="31"/>
      <c r="X38" s="30"/>
      <c r="AA38" s="31"/>
      <c r="AB38" s="31"/>
      <c r="AC38" s="30"/>
      <c r="AD38" s="3"/>
      <c r="AF38" s="32"/>
      <c r="AG38" s="28"/>
      <c r="AH38" s="96"/>
      <c r="AI38" s="32"/>
      <c r="AJ38" s="28"/>
      <c r="AK38" s="28"/>
      <c r="AM38" s="185"/>
      <c r="AN38" s="185"/>
      <c r="AO38" s="185"/>
      <c r="AP38" s="185"/>
      <c r="AQ38" s="185"/>
      <c r="AR38" s="185"/>
      <c r="AS38" s="185"/>
    </row>
    <row r="39" spans="1:47" x14ac:dyDescent="0.25">
      <c r="A39" s="22" t="s">
        <v>56</v>
      </c>
      <c r="B39" s="33">
        <v>0</v>
      </c>
      <c r="C39" s="34">
        <v>0.03</v>
      </c>
      <c r="D39" s="22"/>
      <c r="E39" s="35"/>
      <c r="F39" s="22"/>
      <c r="G39" s="36"/>
      <c r="H39" s="37"/>
      <c r="I39" s="38"/>
      <c r="J39" s="39"/>
      <c r="K39" s="36"/>
      <c r="L39" s="36"/>
      <c r="M39" s="40"/>
      <c r="N39" s="41"/>
      <c r="O39" s="40"/>
      <c r="P39" s="158"/>
      <c r="Q39" s="164"/>
      <c r="R39" s="28"/>
      <c r="S39" s="29">
        <f t="shared" ref="S39:S47" si="83">ROUND($S$38*C39,0)</f>
        <v>26</v>
      </c>
      <c r="T39" s="29"/>
      <c r="U39" s="29"/>
      <c r="V39" s="29"/>
      <c r="W39" s="29"/>
      <c r="X39" s="42"/>
      <c r="Y39" s="42"/>
      <c r="AA39" s="29"/>
      <c r="AB39" s="29"/>
      <c r="AC39" s="42"/>
      <c r="AD39" s="43"/>
      <c r="AF39" s="44"/>
      <c r="AG39" s="45"/>
      <c r="AH39" s="46"/>
      <c r="AI39" s="44"/>
      <c r="AJ39" s="47"/>
      <c r="AK39" s="48"/>
      <c r="AM39" s="49"/>
      <c r="AN39" s="50"/>
      <c r="AO39" s="44"/>
      <c r="AP39" s="46"/>
      <c r="AQ39" s="86"/>
      <c r="AR39" s="53"/>
      <c r="AS39" s="53"/>
    </row>
    <row r="40" spans="1:47" x14ac:dyDescent="0.25">
      <c r="A40" s="22" t="s">
        <v>57</v>
      </c>
      <c r="B40" s="33">
        <v>0.1</v>
      </c>
      <c r="C40" s="34">
        <v>0.13900000000000001</v>
      </c>
      <c r="D40" s="37">
        <f>ROUND(B40*$D$38,2)</f>
        <v>44.6</v>
      </c>
      <c r="E40" s="54">
        <v>0.13</v>
      </c>
      <c r="F40" s="37">
        <f>ROUND(E40*D40,2)</f>
        <v>5.8</v>
      </c>
      <c r="G40" s="36">
        <f t="shared" ref="G40:G47" si="84">+D40-F40</f>
        <v>38.800000000000004</v>
      </c>
      <c r="H40" s="37">
        <f>+ROUND($H$38*B40,2)</f>
        <v>56.6</v>
      </c>
      <c r="I40" s="38">
        <f t="shared" ref="I40:I47" si="85">+E40</f>
        <v>0.13</v>
      </c>
      <c r="J40" s="39">
        <f t="shared" ref="J40:J47" si="86">+I40*H40</f>
        <v>7.3580000000000005</v>
      </c>
      <c r="K40" s="36">
        <f>H40-J40</f>
        <v>49.242000000000004</v>
      </c>
      <c r="L40" s="55">
        <f>+K40/G40*100</f>
        <v>126.9123711340206</v>
      </c>
      <c r="M40" s="37">
        <f>+H40</f>
        <v>56.6</v>
      </c>
      <c r="N40" s="56">
        <v>0.21199999999999999</v>
      </c>
      <c r="O40" s="37">
        <f t="shared" ref="O40:O47" si="87">ROUND(N40*M40,2)</f>
        <v>12</v>
      </c>
      <c r="P40" s="158">
        <f t="shared" ref="P40:P47" si="88">M40-O40</f>
        <v>44.6</v>
      </c>
      <c r="Q40" s="165">
        <f t="shared" ref="Q40:Q47" si="89">+P40/G40*100</f>
        <v>114.94845360824742</v>
      </c>
      <c r="R40" s="28"/>
      <c r="S40" s="29">
        <f t="shared" si="83"/>
        <v>118</v>
      </c>
      <c r="T40" s="57">
        <f t="shared" ref="T40:T47" si="90">S40*G40</f>
        <v>4578.4000000000005</v>
      </c>
      <c r="U40" s="42">
        <f t="shared" ref="U40:U47" si="91">+S40*G40*12</f>
        <v>54940.800000000003</v>
      </c>
      <c r="V40" s="42">
        <f t="shared" ref="V40:V47" si="92">S40*K40</f>
        <v>5810.5560000000005</v>
      </c>
      <c r="W40" s="42">
        <f t="shared" ref="W40:W47" si="93">S40*K40*12</f>
        <v>69726.672000000006</v>
      </c>
      <c r="X40" s="42">
        <f t="shared" ref="X40:X47" si="94">P40*S40</f>
        <v>5262.8</v>
      </c>
      <c r="Y40" s="42">
        <f>X40*12</f>
        <v>63153.600000000006</v>
      </c>
      <c r="AA40" s="42">
        <f t="shared" ref="AA40:AA47" si="95">V40-T40</f>
        <v>1232.1559999999999</v>
      </c>
      <c r="AB40" s="42">
        <f>AA40*12</f>
        <v>14785.871999999999</v>
      </c>
      <c r="AC40" s="42">
        <f t="shared" ref="AC40:AC47" si="96">X40-T40</f>
        <v>684.39999999999964</v>
      </c>
      <c r="AD40" s="43">
        <f>AC40*12</f>
        <v>8212.7999999999956</v>
      </c>
      <c r="AF40" s="38">
        <f>+N40</f>
        <v>0.21199999999999999</v>
      </c>
      <c r="AG40" s="37">
        <f t="shared" ref="AG40:AG47" si="97">H40*AF40</f>
        <v>11.9992</v>
      </c>
      <c r="AH40" s="58">
        <f t="shared" ref="AH40:AH47" si="98">H40-AG40</f>
        <v>44.6008</v>
      </c>
      <c r="AI40" s="59">
        <v>0.13</v>
      </c>
      <c r="AJ40" s="37">
        <f t="shared" ref="AJ40:AJ47" si="99">K40*AI40</f>
        <v>6.401460000000001</v>
      </c>
      <c r="AK40" s="58">
        <f t="shared" ref="AK40:AK47" si="100">K40-AJ40</f>
        <v>42.840540000000004</v>
      </c>
      <c r="AM40" s="60">
        <f t="shared" ref="AM40:AM47" si="101">G40*0.3</f>
        <v>11.64</v>
      </c>
      <c r="AN40" s="61">
        <f t="shared" ref="AN40:AN47" si="102">D40-AM40</f>
        <v>32.96</v>
      </c>
      <c r="AO40" s="60">
        <f t="shared" ref="AO40:AO47" si="103">P40*0.3</f>
        <v>13.38</v>
      </c>
      <c r="AP40" s="58">
        <f t="shared" ref="AP40:AP47" si="104">M40-AO40</f>
        <v>43.22</v>
      </c>
      <c r="AQ40" s="63">
        <f>125*0.47</f>
        <v>58.75</v>
      </c>
      <c r="AR40" s="97">
        <f>AQ40*AN40</f>
        <v>1936.4</v>
      </c>
      <c r="AS40" s="98">
        <f>AQ40*AP40</f>
        <v>2539.1749999999997</v>
      </c>
      <c r="AT40" s="80"/>
      <c r="AU40" s="80"/>
    </row>
    <row r="41" spans="1:47" x14ac:dyDescent="0.25">
      <c r="A41" s="22" t="s">
        <v>58</v>
      </c>
      <c r="B41" s="33">
        <v>0.2</v>
      </c>
      <c r="C41" s="34">
        <v>0.08</v>
      </c>
      <c r="D41" s="37">
        <f t="shared" ref="D41:D47" si="105">ROUND(B41*$D$38,2)</f>
        <v>89.2</v>
      </c>
      <c r="E41" s="54">
        <v>0.13</v>
      </c>
      <c r="F41" s="37">
        <f t="shared" ref="F41:F47" si="106">ROUND(E41*D41,2)</f>
        <v>11.6</v>
      </c>
      <c r="G41" s="36">
        <f t="shared" si="84"/>
        <v>77.600000000000009</v>
      </c>
      <c r="H41" s="37">
        <f t="shared" ref="H41:H47" si="107">+ROUND($H$38*B41,2)</f>
        <v>113.2</v>
      </c>
      <c r="I41" s="38">
        <f t="shared" si="85"/>
        <v>0.13</v>
      </c>
      <c r="J41" s="39">
        <f t="shared" si="86"/>
        <v>14.716000000000001</v>
      </c>
      <c r="K41" s="36">
        <f t="shared" ref="K41:K47" si="108">H41-J41</f>
        <v>98.484000000000009</v>
      </c>
      <c r="L41" s="55">
        <f t="shared" ref="L41:L47" si="109">+K41/G41*100</f>
        <v>126.9123711340206</v>
      </c>
      <c r="M41" s="37">
        <f t="shared" ref="M41:M47" si="110">+H41</f>
        <v>113.2</v>
      </c>
      <c r="N41" s="56">
        <v>0.21199999999999999</v>
      </c>
      <c r="O41" s="37">
        <f t="shared" si="87"/>
        <v>24</v>
      </c>
      <c r="P41" s="158">
        <f t="shared" si="88"/>
        <v>89.2</v>
      </c>
      <c r="Q41" s="165">
        <f t="shared" si="89"/>
        <v>114.94845360824742</v>
      </c>
      <c r="R41" s="28"/>
      <c r="S41" s="29">
        <f t="shared" si="83"/>
        <v>68</v>
      </c>
      <c r="T41" s="57">
        <f t="shared" si="90"/>
        <v>5276.8</v>
      </c>
      <c r="U41" s="42">
        <f t="shared" si="91"/>
        <v>63321.600000000006</v>
      </c>
      <c r="V41" s="42">
        <f t="shared" si="92"/>
        <v>6696.9120000000003</v>
      </c>
      <c r="W41" s="42">
        <f t="shared" si="93"/>
        <v>80362.944000000003</v>
      </c>
      <c r="X41" s="42">
        <f t="shared" si="94"/>
        <v>6065.6</v>
      </c>
      <c r="Y41" s="42">
        <f t="shared" ref="Y41:Y47" si="111">X41*12</f>
        <v>72787.200000000012</v>
      </c>
      <c r="AA41" s="42">
        <f t="shared" si="95"/>
        <v>1420.1120000000001</v>
      </c>
      <c r="AB41" s="42">
        <f t="shared" ref="AB41:AB47" si="112">AA41*12</f>
        <v>17041.344000000001</v>
      </c>
      <c r="AC41" s="42">
        <f t="shared" si="96"/>
        <v>788.80000000000018</v>
      </c>
      <c r="AD41" s="43">
        <f t="shared" ref="AD41:AD47" si="113">AC41*12</f>
        <v>9465.6000000000022</v>
      </c>
      <c r="AF41" s="38">
        <f t="shared" ref="AF41:AF47" si="114">+N41</f>
        <v>0.21199999999999999</v>
      </c>
      <c r="AG41" s="37">
        <f t="shared" si="97"/>
        <v>23.9984</v>
      </c>
      <c r="AH41" s="58">
        <f t="shared" si="98"/>
        <v>89.201599999999999</v>
      </c>
      <c r="AI41" s="59">
        <v>0.13</v>
      </c>
      <c r="AJ41" s="37">
        <f t="shared" si="99"/>
        <v>12.802920000000002</v>
      </c>
      <c r="AK41" s="58">
        <f t="shared" si="100"/>
        <v>85.681080000000009</v>
      </c>
      <c r="AM41" s="60">
        <f t="shared" si="101"/>
        <v>23.28</v>
      </c>
      <c r="AN41" s="61">
        <f t="shared" si="102"/>
        <v>65.92</v>
      </c>
      <c r="AO41" s="60">
        <f t="shared" si="103"/>
        <v>26.76</v>
      </c>
      <c r="AP41" s="58">
        <f t="shared" si="104"/>
        <v>86.44</v>
      </c>
      <c r="AQ41" s="63">
        <f t="shared" ref="AQ41:AQ47" si="115">125*0.47</f>
        <v>58.75</v>
      </c>
      <c r="AR41" s="97">
        <f t="shared" ref="AR41:AR47" si="116">AQ41*AN41</f>
        <v>3872.8</v>
      </c>
      <c r="AS41" s="98">
        <f t="shared" ref="AS41:AS47" si="117">AQ41*AP41</f>
        <v>5078.3499999999995</v>
      </c>
    </row>
    <row r="42" spans="1:47" x14ac:dyDescent="0.25">
      <c r="A42" s="22" t="s">
        <v>59</v>
      </c>
      <c r="B42" s="33">
        <v>0.3</v>
      </c>
      <c r="C42" s="34">
        <v>9.2999999999999999E-2</v>
      </c>
      <c r="D42" s="37">
        <f t="shared" si="105"/>
        <v>133.80000000000001</v>
      </c>
      <c r="E42" s="54">
        <v>0.13</v>
      </c>
      <c r="F42" s="37">
        <f t="shared" si="106"/>
        <v>17.39</v>
      </c>
      <c r="G42" s="36">
        <f t="shared" si="84"/>
        <v>116.41000000000001</v>
      </c>
      <c r="H42" s="37">
        <f t="shared" si="107"/>
        <v>169.8</v>
      </c>
      <c r="I42" s="38">
        <f t="shared" si="85"/>
        <v>0.13</v>
      </c>
      <c r="J42" s="39">
        <f t="shared" si="86"/>
        <v>22.074000000000002</v>
      </c>
      <c r="K42" s="36">
        <f t="shared" si="108"/>
        <v>147.726</v>
      </c>
      <c r="L42" s="55">
        <f t="shared" si="109"/>
        <v>126.90146894596683</v>
      </c>
      <c r="M42" s="37">
        <f t="shared" si="110"/>
        <v>169.8</v>
      </c>
      <c r="N42" s="56">
        <v>0.21199999999999999</v>
      </c>
      <c r="O42" s="37">
        <f t="shared" si="87"/>
        <v>36</v>
      </c>
      <c r="P42" s="158">
        <f t="shared" si="88"/>
        <v>133.80000000000001</v>
      </c>
      <c r="Q42" s="165">
        <f t="shared" si="89"/>
        <v>114.93857915986598</v>
      </c>
      <c r="R42" s="28"/>
      <c r="S42" s="29">
        <f t="shared" si="83"/>
        <v>79</v>
      </c>
      <c r="T42" s="57">
        <f t="shared" si="90"/>
        <v>9196.3900000000012</v>
      </c>
      <c r="U42" s="42">
        <f t="shared" si="91"/>
        <v>110356.68000000002</v>
      </c>
      <c r="V42" s="42">
        <f t="shared" si="92"/>
        <v>11670.353999999999</v>
      </c>
      <c r="W42" s="42">
        <f t="shared" si="93"/>
        <v>140044.24799999999</v>
      </c>
      <c r="X42" s="42">
        <f t="shared" si="94"/>
        <v>10570.2</v>
      </c>
      <c r="Y42" s="42">
        <f t="shared" si="111"/>
        <v>126842.40000000001</v>
      </c>
      <c r="AA42" s="42">
        <f t="shared" si="95"/>
        <v>2473.9639999999981</v>
      </c>
      <c r="AB42" s="42">
        <f t="shared" si="112"/>
        <v>29687.567999999977</v>
      </c>
      <c r="AC42" s="42">
        <f t="shared" si="96"/>
        <v>1373.8099999999995</v>
      </c>
      <c r="AD42" s="43">
        <f t="shared" si="113"/>
        <v>16485.719999999994</v>
      </c>
      <c r="AF42" s="38">
        <f t="shared" si="114"/>
        <v>0.21199999999999999</v>
      </c>
      <c r="AG42" s="37">
        <f t="shared" si="97"/>
        <v>35.997599999999998</v>
      </c>
      <c r="AH42" s="58">
        <f t="shared" si="98"/>
        <v>133.80240000000001</v>
      </c>
      <c r="AI42" s="59">
        <v>0.13</v>
      </c>
      <c r="AJ42" s="37">
        <f t="shared" si="99"/>
        <v>19.20438</v>
      </c>
      <c r="AK42" s="58">
        <f t="shared" si="100"/>
        <v>128.52161999999998</v>
      </c>
      <c r="AM42" s="60">
        <f t="shared" si="101"/>
        <v>34.923000000000002</v>
      </c>
      <c r="AN42" s="61">
        <f t="shared" si="102"/>
        <v>98.87700000000001</v>
      </c>
      <c r="AO42" s="60">
        <f t="shared" si="103"/>
        <v>40.14</v>
      </c>
      <c r="AP42" s="58">
        <f t="shared" si="104"/>
        <v>129.66000000000003</v>
      </c>
      <c r="AQ42" s="63">
        <f t="shared" si="115"/>
        <v>58.75</v>
      </c>
      <c r="AR42" s="97">
        <f t="shared" si="116"/>
        <v>5809.0237500000003</v>
      </c>
      <c r="AS42" s="98">
        <f t="shared" si="117"/>
        <v>7617.5250000000015</v>
      </c>
    </row>
    <row r="43" spans="1:47" x14ac:dyDescent="0.25">
      <c r="A43" s="22" t="s">
        <v>60</v>
      </c>
      <c r="B43" s="33">
        <v>0.35</v>
      </c>
      <c r="C43" s="34">
        <v>0.157</v>
      </c>
      <c r="D43" s="37">
        <f t="shared" si="105"/>
        <v>156.1</v>
      </c>
      <c r="E43" s="54">
        <v>0.1</v>
      </c>
      <c r="F43" s="37">
        <f t="shared" si="106"/>
        <v>15.61</v>
      </c>
      <c r="G43" s="36">
        <f t="shared" si="84"/>
        <v>140.49</v>
      </c>
      <c r="H43" s="37">
        <f t="shared" si="107"/>
        <v>198.1</v>
      </c>
      <c r="I43" s="38">
        <f t="shared" si="85"/>
        <v>0.1</v>
      </c>
      <c r="J43" s="39">
        <f t="shared" si="86"/>
        <v>19.810000000000002</v>
      </c>
      <c r="K43" s="36">
        <f t="shared" si="108"/>
        <v>178.29</v>
      </c>
      <c r="L43" s="55">
        <f t="shared" si="109"/>
        <v>126.90582959641254</v>
      </c>
      <c r="M43" s="37">
        <f t="shared" si="110"/>
        <v>198.1</v>
      </c>
      <c r="N43" s="56">
        <v>0.185</v>
      </c>
      <c r="O43" s="37">
        <f t="shared" si="87"/>
        <v>36.65</v>
      </c>
      <c r="P43" s="158">
        <f t="shared" si="88"/>
        <v>161.44999999999999</v>
      </c>
      <c r="Q43" s="165">
        <f t="shared" si="89"/>
        <v>114.91921133176737</v>
      </c>
      <c r="R43" s="28"/>
      <c r="S43" s="29">
        <f t="shared" si="83"/>
        <v>133</v>
      </c>
      <c r="T43" s="57">
        <f t="shared" si="90"/>
        <v>18685.170000000002</v>
      </c>
      <c r="U43" s="42">
        <f t="shared" si="91"/>
        <v>224222.04000000004</v>
      </c>
      <c r="V43" s="42">
        <f t="shared" si="92"/>
        <v>23712.57</v>
      </c>
      <c r="W43" s="42">
        <f t="shared" si="93"/>
        <v>284550.83999999997</v>
      </c>
      <c r="X43" s="42">
        <f t="shared" si="94"/>
        <v>21472.85</v>
      </c>
      <c r="Y43" s="42">
        <f t="shared" si="111"/>
        <v>257674.19999999998</v>
      </c>
      <c r="AA43" s="42">
        <f t="shared" si="95"/>
        <v>5027.3999999999978</v>
      </c>
      <c r="AB43" s="42">
        <f t="shared" si="112"/>
        <v>60328.799999999974</v>
      </c>
      <c r="AC43" s="42">
        <f t="shared" si="96"/>
        <v>2787.6799999999967</v>
      </c>
      <c r="AD43" s="43">
        <f t="shared" si="113"/>
        <v>33452.15999999996</v>
      </c>
      <c r="AF43" s="38">
        <f t="shared" si="114"/>
        <v>0.185</v>
      </c>
      <c r="AG43" s="37">
        <f t="shared" si="97"/>
        <v>36.648499999999999</v>
      </c>
      <c r="AH43" s="58">
        <f t="shared" si="98"/>
        <v>161.45150000000001</v>
      </c>
      <c r="AI43" s="59">
        <v>0.1</v>
      </c>
      <c r="AJ43" s="37">
        <f t="shared" si="99"/>
        <v>17.829000000000001</v>
      </c>
      <c r="AK43" s="58">
        <f t="shared" si="100"/>
        <v>160.46099999999998</v>
      </c>
      <c r="AM43" s="60">
        <f t="shared" si="101"/>
        <v>42.146999999999998</v>
      </c>
      <c r="AN43" s="61">
        <f t="shared" si="102"/>
        <v>113.953</v>
      </c>
      <c r="AO43" s="60">
        <f t="shared" si="103"/>
        <v>48.434999999999995</v>
      </c>
      <c r="AP43" s="58">
        <f t="shared" si="104"/>
        <v>149.66499999999999</v>
      </c>
      <c r="AQ43" s="63">
        <f t="shared" si="115"/>
        <v>58.75</v>
      </c>
      <c r="AR43" s="97">
        <f t="shared" si="116"/>
        <v>6694.7387500000004</v>
      </c>
      <c r="AS43" s="98">
        <f t="shared" si="117"/>
        <v>8792.8187500000004</v>
      </c>
    </row>
    <row r="44" spans="1:47" x14ac:dyDescent="0.25">
      <c r="A44" s="22" t="s">
        <v>61</v>
      </c>
      <c r="B44" s="33">
        <v>0.43</v>
      </c>
      <c r="C44" s="34">
        <v>0.13600000000000001</v>
      </c>
      <c r="D44" s="37">
        <f t="shared" si="105"/>
        <v>191.78</v>
      </c>
      <c r="E44" s="54">
        <v>0.1</v>
      </c>
      <c r="F44" s="37">
        <f t="shared" si="106"/>
        <v>19.18</v>
      </c>
      <c r="G44" s="36">
        <f t="shared" si="84"/>
        <v>172.6</v>
      </c>
      <c r="H44" s="37">
        <f t="shared" si="107"/>
        <v>243.38</v>
      </c>
      <c r="I44" s="38">
        <f t="shared" si="85"/>
        <v>0.1</v>
      </c>
      <c r="J44" s="39">
        <f t="shared" si="86"/>
        <v>24.338000000000001</v>
      </c>
      <c r="K44" s="36">
        <f t="shared" si="108"/>
        <v>219.042</v>
      </c>
      <c r="L44" s="55">
        <f t="shared" si="109"/>
        <v>126.90730011587486</v>
      </c>
      <c r="M44" s="37">
        <f t="shared" si="110"/>
        <v>243.38</v>
      </c>
      <c r="N44" s="56">
        <v>0.185</v>
      </c>
      <c r="O44" s="37">
        <f t="shared" si="87"/>
        <v>45.03</v>
      </c>
      <c r="P44" s="158">
        <f t="shared" si="88"/>
        <v>198.35</v>
      </c>
      <c r="Q44" s="165">
        <f t="shared" si="89"/>
        <v>114.91888760139051</v>
      </c>
      <c r="R44" s="28"/>
      <c r="S44" s="29">
        <f t="shared" si="83"/>
        <v>116</v>
      </c>
      <c r="T44" s="57">
        <f t="shared" si="90"/>
        <v>20021.599999999999</v>
      </c>
      <c r="U44" s="42">
        <f t="shared" si="91"/>
        <v>240259.19999999998</v>
      </c>
      <c r="V44" s="42">
        <f t="shared" si="92"/>
        <v>25408.871999999999</v>
      </c>
      <c r="W44" s="42">
        <f t="shared" si="93"/>
        <v>304906.46399999998</v>
      </c>
      <c r="X44" s="42">
        <f t="shared" si="94"/>
        <v>23008.6</v>
      </c>
      <c r="Y44" s="42">
        <f t="shared" si="111"/>
        <v>276103.19999999995</v>
      </c>
      <c r="AA44" s="42">
        <f t="shared" si="95"/>
        <v>5387.2720000000008</v>
      </c>
      <c r="AB44" s="42">
        <f t="shared" si="112"/>
        <v>64647.26400000001</v>
      </c>
      <c r="AC44" s="42">
        <f t="shared" si="96"/>
        <v>2987</v>
      </c>
      <c r="AD44" s="43">
        <f t="shared" si="113"/>
        <v>35844</v>
      </c>
      <c r="AF44" s="38">
        <f t="shared" si="114"/>
        <v>0.185</v>
      </c>
      <c r="AG44" s="37">
        <f t="shared" si="97"/>
        <v>45.025300000000001</v>
      </c>
      <c r="AH44" s="58">
        <f t="shared" si="98"/>
        <v>198.35469999999998</v>
      </c>
      <c r="AI44" s="59">
        <v>0.1</v>
      </c>
      <c r="AJ44" s="37">
        <f t="shared" si="99"/>
        <v>21.904200000000003</v>
      </c>
      <c r="AK44" s="58">
        <f t="shared" si="100"/>
        <v>197.1378</v>
      </c>
      <c r="AM44" s="60">
        <f t="shared" si="101"/>
        <v>51.779999999999994</v>
      </c>
      <c r="AN44" s="61">
        <f t="shared" si="102"/>
        <v>140</v>
      </c>
      <c r="AO44" s="60">
        <f t="shared" si="103"/>
        <v>59.504999999999995</v>
      </c>
      <c r="AP44" s="58">
        <f t="shared" si="104"/>
        <v>183.875</v>
      </c>
      <c r="AQ44" s="63">
        <f t="shared" si="115"/>
        <v>58.75</v>
      </c>
      <c r="AR44" s="97">
        <f t="shared" si="116"/>
        <v>8225</v>
      </c>
      <c r="AS44" s="98">
        <f t="shared" si="117"/>
        <v>10802.65625</v>
      </c>
    </row>
    <row r="45" spans="1:47" ht="15" customHeight="1" x14ac:dyDescent="0.25">
      <c r="A45" s="22" t="s">
        <v>62</v>
      </c>
      <c r="B45" s="33">
        <v>0.53</v>
      </c>
      <c r="C45" s="34">
        <v>0.158</v>
      </c>
      <c r="D45" s="37">
        <f t="shared" si="105"/>
        <v>236.38</v>
      </c>
      <c r="E45" s="54">
        <v>0.1</v>
      </c>
      <c r="F45" s="37">
        <f t="shared" si="106"/>
        <v>23.64</v>
      </c>
      <c r="G45" s="36">
        <f t="shared" si="84"/>
        <v>212.74</v>
      </c>
      <c r="H45" s="37">
        <f t="shared" si="107"/>
        <v>299.98</v>
      </c>
      <c r="I45" s="38">
        <f t="shared" si="85"/>
        <v>0.1</v>
      </c>
      <c r="J45" s="39">
        <f t="shared" si="86"/>
        <v>29.998000000000005</v>
      </c>
      <c r="K45" s="36">
        <f t="shared" si="108"/>
        <v>269.98200000000003</v>
      </c>
      <c r="L45" s="55">
        <f t="shared" si="109"/>
        <v>126.90702265676413</v>
      </c>
      <c r="M45" s="37">
        <f t="shared" si="110"/>
        <v>299.98</v>
      </c>
      <c r="N45" s="56">
        <v>0.185</v>
      </c>
      <c r="O45" s="37">
        <f t="shared" si="87"/>
        <v>55.5</v>
      </c>
      <c r="P45" s="158">
        <f t="shared" si="88"/>
        <v>244.48000000000002</v>
      </c>
      <c r="Q45" s="165">
        <f t="shared" si="89"/>
        <v>114.91962019366365</v>
      </c>
      <c r="R45" s="28"/>
      <c r="S45" s="29">
        <f t="shared" si="83"/>
        <v>134</v>
      </c>
      <c r="T45" s="57">
        <f t="shared" si="90"/>
        <v>28507.16</v>
      </c>
      <c r="U45" s="42">
        <f t="shared" si="91"/>
        <v>342085.92</v>
      </c>
      <c r="V45" s="42">
        <f t="shared" si="92"/>
        <v>36177.588000000003</v>
      </c>
      <c r="W45" s="42">
        <f t="shared" si="93"/>
        <v>434131.05600000004</v>
      </c>
      <c r="X45" s="42">
        <f t="shared" si="94"/>
        <v>32760.320000000003</v>
      </c>
      <c r="Y45" s="42">
        <f t="shared" si="111"/>
        <v>393123.84000000003</v>
      </c>
      <c r="AA45" s="42">
        <f t="shared" si="95"/>
        <v>7670.4280000000035</v>
      </c>
      <c r="AB45" s="42">
        <f t="shared" si="112"/>
        <v>92045.136000000042</v>
      </c>
      <c r="AC45" s="42">
        <f t="shared" si="96"/>
        <v>4253.1600000000035</v>
      </c>
      <c r="AD45" s="43">
        <f t="shared" si="113"/>
        <v>51037.920000000042</v>
      </c>
      <c r="AF45" s="38">
        <f t="shared" si="114"/>
        <v>0.185</v>
      </c>
      <c r="AG45" s="37">
        <f t="shared" si="97"/>
        <v>55.496300000000005</v>
      </c>
      <c r="AH45" s="58">
        <f t="shared" si="98"/>
        <v>244.4837</v>
      </c>
      <c r="AI45" s="59">
        <v>0.1</v>
      </c>
      <c r="AJ45" s="37">
        <f t="shared" si="99"/>
        <v>26.998200000000004</v>
      </c>
      <c r="AK45" s="58">
        <f t="shared" si="100"/>
        <v>242.98380000000003</v>
      </c>
      <c r="AM45" s="60">
        <f t="shared" si="101"/>
        <v>63.822000000000003</v>
      </c>
      <c r="AN45" s="61">
        <f t="shared" si="102"/>
        <v>172.55799999999999</v>
      </c>
      <c r="AO45" s="60">
        <f t="shared" si="103"/>
        <v>73.344000000000008</v>
      </c>
      <c r="AP45" s="58">
        <f t="shared" si="104"/>
        <v>226.63600000000002</v>
      </c>
      <c r="AQ45" s="63">
        <f t="shared" si="115"/>
        <v>58.75</v>
      </c>
      <c r="AR45" s="97">
        <f t="shared" si="116"/>
        <v>10137.782499999999</v>
      </c>
      <c r="AS45" s="98">
        <f t="shared" si="117"/>
        <v>13314.865000000002</v>
      </c>
    </row>
    <row r="46" spans="1:47" x14ac:dyDescent="0.25">
      <c r="A46" s="22" t="s">
        <v>63</v>
      </c>
      <c r="B46" s="33">
        <v>0.66</v>
      </c>
      <c r="C46" s="34">
        <v>8.3000000000000004E-2</v>
      </c>
      <c r="D46" s="37">
        <f t="shared" si="105"/>
        <v>294.36</v>
      </c>
      <c r="E46" s="54">
        <v>0.1</v>
      </c>
      <c r="F46" s="37">
        <f t="shared" si="106"/>
        <v>29.44</v>
      </c>
      <c r="G46" s="36">
        <f t="shared" si="84"/>
        <v>264.92</v>
      </c>
      <c r="H46" s="37">
        <f t="shared" si="107"/>
        <v>373.56</v>
      </c>
      <c r="I46" s="38">
        <f t="shared" si="85"/>
        <v>0.1</v>
      </c>
      <c r="J46" s="39">
        <f t="shared" si="86"/>
        <v>37.356000000000002</v>
      </c>
      <c r="K46" s="36">
        <f t="shared" si="108"/>
        <v>336.20400000000001</v>
      </c>
      <c r="L46" s="55">
        <f t="shared" si="109"/>
        <v>126.90774573456136</v>
      </c>
      <c r="M46" s="37">
        <f t="shared" si="110"/>
        <v>373.56</v>
      </c>
      <c r="N46" s="56">
        <v>0.185</v>
      </c>
      <c r="O46" s="37">
        <f t="shared" si="87"/>
        <v>69.11</v>
      </c>
      <c r="P46" s="158">
        <f t="shared" si="88"/>
        <v>304.45</v>
      </c>
      <c r="Q46" s="165">
        <f t="shared" si="89"/>
        <v>114.92148573154159</v>
      </c>
      <c r="R46" s="28"/>
      <c r="S46" s="29">
        <f t="shared" si="83"/>
        <v>71</v>
      </c>
      <c r="T46" s="57">
        <f t="shared" si="90"/>
        <v>18809.32</v>
      </c>
      <c r="U46" s="42">
        <f t="shared" si="91"/>
        <v>225711.84</v>
      </c>
      <c r="V46" s="42">
        <f t="shared" si="92"/>
        <v>23870.484</v>
      </c>
      <c r="W46" s="42">
        <f t="shared" si="93"/>
        <v>286445.80800000002</v>
      </c>
      <c r="X46" s="42">
        <f t="shared" si="94"/>
        <v>21615.95</v>
      </c>
      <c r="Y46" s="42">
        <f t="shared" si="111"/>
        <v>259391.40000000002</v>
      </c>
      <c r="AA46" s="42">
        <f t="shared" si="95"/>
        <v>5061.1640000000007</v>
      </c>
      <c r="AB46" s="42">
        <f t="shared" si="112"/>
        <v>60733.968000000008</v>
      </c>
      <c r="AC46" s="42">
        <f t="shared" si="96"/>
        <v>2806.630000000001</v>
      </c>
      <c r="AD46" s="43">
        <f t="shared" si="113"/>
        <v>33679.560000000012</v>
      </c>
      <c r="AF46" s="38">
        <f t="shared" si="114"/>
        <v>0.185</v>
      </c>
      <c r="AG46" s="37">
        <f t="shared" si="97"/>
        <v>69.108599999999996</v>
      </c>
      <c r="AH46" s="58">
        <f t="shared" si="98"/>
        <v>304.45140000000004</v>
      </c>
      <c r="AI46" s="59">
        <v>0.1</v>
      </c>
      <c r="AJ46" s="37">
        <f t="shared" si="99"/>
        <v>33.620400000000004</v>
      </c>
      <c r="AK46" s="58">
        <f t="shared" si="100"/>
        <v>302.58359999999999</v>
      </c>
      <c r="AM46" s="60">
        <f t="shared" si="101"/>
        <v>79.475999999999999</v>
      </c>
      <c r="AN46" s="61">
        <f t="shared" si="102"/>
        <v>214.88400000000001</v>
      </c>
      <c r="AO46" s="60">
        <f t="shared" si="103"/>
        <v>91.334999999999994</v>
      </c>
      <c r="AP46" s="58">
        <f t="shared" si="104"/>
        <v>282.22500000000002</v>
      </c>
      <c r="AQ46" s="63">
        <f t="shared" si="115"/>
        <v>58.75</v>
      </c>
      <c r="AR46" s="97">
        <f t="shared" si="116"/>
        <v>12624.435000000001</v>
      </c>
      <c r="AS46" s="98">
        <f t="shared" si="117"/>
        <v>16580.71875</v>
      </c>
    </row>
    <row r="47" spans="1:47" ht="16.5" thickBot="1" x14ac:dyDescent="0.3">
      <c r="A47" s="22" t="s">
        <v>64</v>
      </c>
      <c r="B47" s="33">
        <v>0.77</v>
      </c>
      <c r="C47" s="34">
        <v>0.124</v>
      </c>
      <c r="D47" s="37">
        <f t="shared" si="105"/>
        <v>343.42</v>
      </c>
      <c r="E47" s="54">
        <v>0.1</v>
      </c>
      <c r="F47" s="37">
        <f t="shared" si="106"/>
        <v>34.340000000000003</v>
      </c>
      <c r="G47" s="36">
        <f t="shared" si="84"/>
        <v>309.08000000000004</v>
      </c>
      <c r="H47" s="37">
        <f t="shared" si="107"/>
        <v>435.82</v>
      </c>
      <c r="I47" s="38">
        <f t="shared" si="85"/>
        <v>0.1</v>
      </c>
      <c r="J47" s="39">
        <f t="shared" si="86"/>
        <v>43.582000000000001</v>
      </c>
      <c r="K47" s="36">
        <f t="shared" si="108"/>
        <v>392.238</v>
      </c>
      <c r="L47" s="55">
        <f t="shared" si="109"/>
        <v>126.90500841206158</v>
      </c>
      <c r="M47" s="37">
        <f t="shared" si="110"/>
        <v>435.82</v>
      </c>
      <c r="N47" s="56">
        <v>0.185</v>
      </c>
      <c r="O47" s="37">
        <f t="shared" si="87"/>
        <v>80.63</v>
      </c>
      <c r="P47" s="158">
        <f t="shared" si="88"/>
        <v>355.19</v>
      </c>
      <c r="Q47" s="165">
        <f t="shared" si="89"/>
        <v>114.91846771062507</v>
      </c>
      <c r="R47" s="28"/>
      <c r="S47" s="29">
        <f t="shared" si="83"/>
        <v>105</v>
      </c>
      <c r="T47" s="57">
        <f t="shared" si="90"/>
        <v>32453.400000000005</v>
      </c>
      <c r="U47" s="42">
        <f t="shared" si="91"/>
        <v>389440.80000000005</v>
      </c>
      <c r="V47" s="42">
        <f t="shared" si="92"/>
        <v>41184.99</v>
      </c>
      <c r="W47" s="42">
        <f t="shared" si="93"/>
        <v>494219.88</v>
      </c>
      <c r="X47" s="42">
        <f t="shared" si="94"/>
        <v>37294.949999999997</v>
      </c>
      <c r="Y47" s="42">
        <f t="shared" si="111"/>
        <v>447539.39999999997</v>
      </c>
      <c r="AA47" s="42">
        <f t="shared" si="95"/>
        <v>8731.5899999999929</v>
      </c>
      <c r="AB47" s="42">
        <f t="shared" si="112"/>
        <v>104779.07999999991</v>
      </c>
      <c r="AC47" s="42">
        <f t="shared" si="96"/>
        <v>4841.549999999992</v>
      </c>
      <c r="AD47" s="43">
        <f t="shared" si="113"/>
        <v>58098.599999999904</v>
      </c>
      <c r="AF47" s="38">
        <f t="shared" si="114"/>
        <v>0.185</v>
      </c>
      <c r="AG47" s="64">
        <f t="shared" si="97"/>
        <v>80.6267</v>
      </c>
      <c r="AH47" s="65">
        <f t="shared" si="98"/>
        <v>355.19330000000002</v>
      </c>
      <c r="AI47" s="66">
        <v>0.1</v>
      </c>
      <c r="AJ47" s="64">
        <f t="shared" si="99"/>
        <v>39.223800000000004</v>
      </c>
      <c r="AK47" s="65">
        <f t="shared" si="100"/>
        <v>353.01420000000002</v>
      </c>
      <c r="AM47" s="87">
        <f t="shared" si="101"/>
        <v>92.724000000000004</v>
      </c>
      <c r="AN47" s="88">
        <f t="shared" si="102"/>
        <v>250.69600000000003</v>
      </c>
      <c r="AO47" s="87">
        <f t="shared" si="103"/>
        <v>106.557</v>
      </c>
      <c r="AP47" s="65">
        <f t="shared" si="104"/>
        <v>329.26299999999998</v>
      </c>
      <c r="AQ47" s="63">
        <f t="shared" si="115"/>
        <v>58.75</v>
      </c>
      <c r="AR47" s="97">
        <f t="shared" si="116"/>
        <v>14728.390000000001</v>
      </c>
      <c r="AS47" s="99">
        <f t="shared" si="117"/>
        <v>19344.201249999998</v>
      </c>
    </row>
    <row r="48" spans="1:47" ht="11.25" customHeight="1" thickBot="1" x14ac:dyDescent="0.3">
      <c r="S48" s="29">
        <f t="shared" ref="S48:U48" si="118">SUM(S39:S47)</f>
        <v>850</v>
      </c>
      <c r="T48" s="71">
        <f t="shared" si="118"/>
        <v>137528.24</v>
      </c>
      <c r="U48" s="71">
        <f t="shared" si="118"/>
        <v>1650338.8800000001</v>
      </c>
      <c r="V48" s="71">
        <f t="shared" ref="V48:W48" si="119">SUM(V39:V47)</f>
        <v>174532.326</v>
      </c>
      <c r="W48" s="71">
        <f t="shared" si="119"/>
        <v>2094387.912</v>
      </c>
      <c r="X48" s="71">
        <f>SUM(X39:X47)</f>
        <v>158051.26999999999</v>
      </c>
      <c r="Y48" s="71">
        <f>SUM(Y39:Y47)</f>
        <v>1896615.2399999998</v>
      </c>
      <c r="AA48" s="71">
        <f t="shared" ref="AA48:AB48" si="120">SUM(AA39:AA47)</f>
        <v>37004.085999999996</v>
      </c>
      <c r="AB48" s="71">
        <f t="shared" si="120"/>
        <v>444049.03199999989</v>
      </c>
      <c r="AC48" s="71">
        <f>SUM(AC39:AC47)</f>
        <v>20523.029999999992</v>
      </c>
      <c r="AD48" s="72">
        <f>SUM(AD39:AD47)</f>
        <v>246276.35999999993</v>
      </c>
      <c r="AM48" s="89">
        <f>SUM(AM40:AM47)</f>
        <v>399.79199999999997</v>
      </c>
      <c r="AN48" s="90">
        <f>SUM(AN40:AN47)</f>
        <v>1089.848</v>
      </c>
      <c r="AO48" s="90">
        <f t="shared" ref="AO48:AQ48" si="121">SUM(AO40:AO47)</f>
        <v>459.45600000000002</v>
      </c>
      <c r="AP48" s="90">
        <f t="shared" si="121"/>
        <v>1430.9839999999999</v>
      </c>
      <c r="AQ48" s="100">
        <f t="shared" si="121"/>
        <v>470</v>
      </c>
      <c r="AR48" s="101">
        <f>SUM(AR40:AR47)</f>
        <v>64028.570000000007</v>
      </c>
      <c r="AS48" s="74">
        <f t="shared" ref="AS48" si="122">SUM(AS40:AS47)</f>
        <v>84070.31</v>
      </c>
    </row>
    <row r="49" spans="1:47" hidden="1" x14ac:dyDescent="0.25">
      <c r="S49" s="78" t="s">
        <v>65</v>
      </c>
      <c r="T49" s="71">
        <f>+T48*0.9</f>
        <v>123775.416</v>
      </c>
      <c r="U49" s="71">
        <f>+U48*0.9</f>
        <v>1485304.9920000001</v>
      </c>
      <c r="V49" s="71">
        <f t="shared" ref="V49:Y49" si="123">+V48*0.9</f>
        <v>157079.09340000001</v>
      </c>
      <c r="W49" s="71">
        <f t="shared" si="123"/>
        <v>1884949.1208000001</v>
      </c>
      <c r="X49" s="71">
        <f t="shared" si="123"/>
        <v>142246.14299999998</v>
      </c>
      <c r="Y49" s="71">
        <f t="shared" si="123"/>
        <v>1706953.7159999998</v>
      </c>
      <c r="AA49" s="71">
        <f t="shared" ref="AA49:AD49" si="124">+AA48*0.9</f>
        <v>33303.6774</v>
      </c>
      <c r="AB49" s="71">
        <f t="shared" si="124"/>
        <v>399644.12879999989</v>
      </c>
      <c r="AC49" s="71">
        <f t="shared" si="124"/>
        <v>18470.726999999992</v>
      </c>
      <c r="AD49" s="71">
        <f t="shared" si="124"/>
        <v>221648.72399999993</v>
      </c>
      <c r="AM49" s="80"/>
      <c r="AN49" s="77"/>
      <c r="AO49" s="4"/>
      <c r="AP49" s="4"/>
      <c r="AQ49" s="80"/>
      <c r="AR49" s="80"/>
      <c r="AS49" s="80"/>
    </row>
    <row r="50" spans="1:47" ht="13.5" customHeight="1" thickBot="1" x14ac:dyDescent="0.3">
      <c r="A50" s="4"/>
      <c r="S50" s="31"/>
      <c r="T50" s="31"/>
      <c r="U50" s="93"/>
      <c r="V50" s="93"/>
      <c r="W50" s="93"/>
      <c r="X50" s="94"/>
      <c r="Y50" s="95"/>
      <c r="AM50" s="80"/>
      <c r="AN50" s="80"/>
      <c r="AQ50" s="80"/>
      <c r="AR50" s="80"/>
      <c r="AS50" s="77"/>
    </row>
    <row r="51" spans="1:47" s="6" customFormat="1" ht="66.75" customHeight="1" thickBot="1" x14ac:dyDescent="0.3">
      <c r="A51" s="186" t="s">
        <v>68</v>
      </c>
      <c r="B51" s="186"/>
      <c r="C51" s="186"/>
      <c r="D51" s="187" t="s">
        <v>2</v>
      </c>
      <c r="E51" s="187"/>
      <c r="F51" s="187"/>
      <c r="G51" s="187"/>
      <c r="H51" s="187" t="s">
        <v>3</v>
      </c>
      <c r="I51" s="187"/>
      <c r="J51" s="187"/>
      <c r="K51" s="187"/>
      <c r="L51" s="187"/>
      <c r="M51" s="187" t="s">
        <v>4</v>
      </c>
      <c r="N51" s="187"/>
      <c r="O51" s="187"/>
      <c r="P51" s="187"/>
      <c r="Q51" s="187"/>
      <c r="T51" s="177" t="s">
        <v>5</v>
      </c>
      <c r="U51" s="179"/>
      <c r="V51" s="177" t="s">
        <v>6</v>
      </c>
      <c r="W51" s="179"/>
      <c r="X51" s="177" t="s">
        <v>7</v>
      </c>
      <c r="Y51" s="179"/>
      <c r="AA51" s="177" t="s">
        <v>6</v>
      </c>
      <c r="AB51" s="179"/>
      <c r="AC51" s="177" t="s">
        <v>7</v>
      </c>
      <c r="AD51" s="179"/>
      <c r="AF51" s="188" t="s">
        <v>8</v>
      </c>
      <c r="AG51" s="189"/>
      <c r="AH51" s="190"/>
      <c r="AI51" s="188" t="s">
        <v>69</v>
      </c>
      <c r="AJ51" s="189"/>
      <c r="AK51" s="190"/>
      <c r="AM51" s="191" t="s">
        <v>10</v>
      </c>
      <c r="AN51" s="192"/>
      <c r="AO51" s="191" t="s">
        <v>11</v>
      </c>
      <c r="AP51" s="193"/>
      <c r="AQ51" s="194" t="s">
        <v>12</v>
      </c>
      <c r="AR51" s="7" t="s">
        <v>13</v>
      </c>
      <c r="AS51" s="8" t="s">
        <v>14</v>
      </c>
    </row>
    <row r="52" spans="1:47" s="15" customFormat="1" ht="119.25" customHeight="1" thickBot="1" x14ac:dyDescent="0.3">
      <c r="A52" s="9"/>
      <c r="B52" s="10" t="s">
        <v>15</v>
      </c>
      <c r="C52" s="10" t="s">
        <v>16</v>
      </c>
      <c r="D52" s="10" t="s">
        <v>17</v>
      </c>
      <c r="E52" s="11" t="s">
        <v>18</v>
      </c>
      <c r="F52" s="10" t="s">
        <v>19</v>
      </c>
      <c r="G52" s="10" t="s">
        <v>20</v>
      </c>
      <c r="H52" s="10" t="s">
        <v>21</v>
      </c>
      <c r="I52" s="10" t="s">
        <v>22</v>
      </c>
      <c r="J52" s="10" t="s">
        <v>23</v>
      </c>
      <c r="K52" s="10" t="s">
        <v>24</v>
      </c>
      <c r="L52" s="12" t="s">
        <v>25</v>
      </c>
      <c r="M52" s="10" t="s">
        <v>88</v>
      </c>
      <c r="N52" s="11" t="s">
        <v>89</v>
      </c>
      <c r="O52" s="10" t="s">
        <v>90</v>
      </c>
      <c r="P52" s="156" t="s">
        <v>91</v>
      </c>
      <c r="Q52" s="163" t="s">
        <v>92</v>
      </c>
      <c r="R52" s="10"/>
      <c r="S52" s="13" t="s">
        <v>26</v>
      </c>
      <c r="T52" s="14" t="s">
        <v>27</v>
      </c>
      <c r="U52" s="14" t="s">
        <v>28</v>
      </c>
      <c r="V52" s="14" t="s">
        <v>29</v>
      </c>
      <c r="W52" s="14" t="s">
        <v>30</v>
      </c>
      <c r="X52" s="14" t="s">
        <v>31</v>
      </c>
      <c r="Y52" s="14" t="s">
        <v>32</v>
      </c>
      <c r="AA52" s="14" t="s">
        <v>29</v>
      </c>
      <c r="AB52" s="14" t="s">
        <v>30</v>
      </c>
      <c r="AC52" s="14" t="s">
        <v>31</v>
      </c>
      <c r="AD52" s="14" t="s">
        <v>32</v>
      </c>
      <c r="AF52" s="16" t="s">
        <v>33</v>
      </c>
      <c r="AG52" s="17" t="s">
        <v>34</v>
      </c>
      <c r="AH52" s="17" t="s">
        <v>35</v>
      </c>
      <c r="AI52" s="16" t="s">
        <v>36</v>
      </c>
      <c r="AJ52" s="17" t="s">
        <v>34</v>
      </c>
      <c r="AK52" s="17" t="s">
        <v>35</v>
      </c>
      <c r="AM52" s="18" t="s">
        <v>35</v>
      </c>
      <c r="AN52" s="19" t="s">
        <v>37</v>
      </c>
      <c r="AO52" s="18" t="s">
        <v>35</v>
      </c>
      <c r="AP52" s="19" t="s">
        <v>37</v>
      </c>
      <c r="AQ52" s="195"/>
      <c r="AR52" s="20" t="s">
        <v>38</v>
      </c>
      <c r="AS52" s="20" t="s">
        <v>38</v>
      </c>
    </row>
    <row r="53" spans="1:47" s="85" customFormat="1" ht="14.25" customHeight="1" x14ac:dyDescent="0.25">
      <c r="A53" s="81"/>
      <c r="B53" s="82">
        <v>1</v>
      </c>
      <c r="C53" s="82">
        <v>2</v>
      </c>
      <c r="D53" s="82">
        <v>3</v>
      </c>
      <c r="E53" s="83">
        <v>4</v>
      </c>
      <c r="F53" s="82" t="s">
        <v>39</v>
      </c>
      <c r="G53" s="82" t="s">
        <v>40</v>
      </c>
      <c r="H53" s="82">
        <v>7</v>
      </c>
      <c r="I53" s="82">
        <v>8</v>
      </c>
      <c r="J53" s="82" t="s">
        <v>41</v>
      </c>
      <c r="K53" s="82" t="s">
        <v>42</v>
      </c>
      <c r="L53" s="82" t="s">
        <v>43</v>
      </c>
      <c r="M53" s="82">
        <v>12</v>
      </c>
      <c r="N53" s="83">
        <v>13</v>
      </c>
      <c r="O53" s="82">
        <v>14</v>
      </c>
      <c r="P53" s="160">
        <v>15</v>
      </c>
      <c r="Q53" s="156" t="s">
        <v>44</v>
      </c>
      <c r="R53" s="84"/>
      <c r="S53" s="84">
        <v>17</v>
      </c>
      <c r="T53" s="84" t="s">
        <v>45</v>
      </c>
      <c r="U53" s="84">
        <v>19</v>
      </c>
      <c r="V53" s="84" t="s">
        <v>46</v>
      </c>
      <c r="W53" s="84">
        <v>21</v>
      </c>
      <c r="X53" s="84" t="s">
        <v>47</v>
      </c>
      <c r="Y53" s="84">
        <v>23</v>
      </c>
      <c r="Z53" s="84"/>
      <c r="AA53" s="84">
        <v>24</v>
      </c>
      <c r="AB53" s="84">
        <v>25</v>
      </c>
      <c r="AC53" s="84">
        <v>26</v>
      </c>
      <c r="AD53" s="84">
        <v>27</v>
      </c>
      <c r="AE53" s="84"/>
      <c r="AF53" s="84">
        <v>28</v>
      </c>
      <c r="AG53" s="84">
        <v>29</v>
      </c>
      <c r="AH53" s="84">
        <v>30</v>
      </c>
      <c r="AI53" s="84">
        <v>31</v>
      </c>
      <c r="AJ53" s="84">
        <v>32</v>
      </c>
      <c r="AK53" s="84">
        <v>33</v>
      </c>
      <c r="AM53" s="84" t="s">
        <v>50</v>
      </c>
      <c r="AN53" s="84" t="s">
        <v>51</v>
      </c>
      <c r="AO53" s="84" t="s">
        <v>52</v>
      </c>
      <c r="AP53" s="84" t="s">
        <v>53</v>
      </c>
      <c r="AQ53" s="84">
        <v>38</v>
      </c>
      <c r="AR53" s="84" t="s">
        <v>54</v>
      </c>
      <c r="AS53" s="84" t="s">
        <v>55</v>
      </c>
    </row>
    <row r="54" spans="1:47" ht="16.5" thickBot="1" x14ac:dyDescent="0.3">
      <c r="A54" s="22"/>
      <c r="B54" s="22"/>
      <c r="C54" s="22"/>
      <c r="D54" s="25">
        <v>439</v>
      </c>
      <c r="E54" s="24"/>
      <c r="F54" s="25"/>
      <c r="G54" s="23"/>
      <c r="H54" s="23">
        <f>ROUND(D54*1.27,0)</f>
        <v>558</v>
      </c>
      <c r="I54" s="22"/>
      <c r="J54" s="22"/>
      <c r="K54" s="26"/>
      <c r="L54" s="26"/>
      <c r="M54" s="23">
        <f>+H54</f>
        <v>558</v>
      </c>
      <c r="N54" s="27"/>
      <c r="O54" s="23"/>
      <c r="P54" s="157"/>
      <c r="Q54" s="164"/>
      <c r="R54" s="28"/>
      <c r="S54" s="29">
        <v>1550</v>
      </c>
      <c r="T54" s="30"/>
      <c r="U54" s="31"/>
      <c r="V54" s="31"/>
      <c r="W54" s="31"/>
      <c r="X54" s="30"/>
      <c r="AA54" s="31"/>
      <c r="AB54" s="31"/>
      <c r="AC54" s="30"/>
      <c r="AD54" s="3"/>
      <c r="AF54" s="32"/>
      <c r="AG54" s="28"/>
      <c r="AH54" s="96"/>
      <c r="AI54" s="32"/>
      <c r="AJ54" s="28"/>
      <c r="AK54" s="28"/>
      <c r="AM54" s="185"/>
      <c r="AN54" s="185"/>
      <c r="AO54" s="185"/>
      <c r="AP54" s="185"/>
      <c r="AQ54" s="185"/>
      <c r="AR54" s="185"/>
      <c r="AS54" s="185"/>
    </row>
    <row r="55" spans="1:47" ht="16.5" thickBot="1" x14ac:dyDescent="0.3">
      <c r="A55" s="22" t="s">
        <v>56</v>
      </c>
      <c r="B55" s="33">
        <v>0</v>
      </c>
      <c r="C55" s="34">
        <v>0.03</v>
      </c>
      <c r="D55" s="22"/>
      <c r="E55" s="35"/>
      <c r="F55" s="22"/>
      <c r="G55" s="36"/>
      <c r="H55" s="37"/>
      <c r="I55" s="38"/>
      <c r="J55" s="39"/>
      <c r="K55" s="36"/>
      <c r="L55" s="36"/>
      <c r="M55" s="40"/>
      <c r="N55" s="41"/>
      <c r="O55" s="40"/>
      <c r="P55" s="158"/>
      <c r="Q55" s="164"/>
      <c r="R55" s="28"/>
      <c r="S55" s="29">
        <f t="shared" ref="S55:S63" si="125">ROUND($S$54*C55,0)</f>
        <v>47</v>
      </c>
      <c r="T55" s="29"/>
      <c r="U55" s="29"/>
      <c r="V55" s="29"/>
      <c r="W55" s="29"/>
      <c r="X55" s="42"/>
      <c r="Y55" s="42"/>
      <c r="AA55" s="29"/>
      <c r="AB55" s="29"/>
      <c r="AC55" s="42"/>
      <c r="AD55" s="43"/>
      <c r="AF55" s="44"/>
      <c r="AG55" s="45"/>
      <c r="AH55" s="46"/>
      <c r="AI55" s="102"/>
      <c r="AJ55" s="103"/>
      <c r="AK55" s="104"/>
      <c r="AM55" s="49"/>
      <c r="AN55" s="50"/>
      <c r="AO55" s="44"/>
      <c r="AP55" s="46"/>
      <c r="AQ55" s="86"/>
      <c r="AR55" s="53"/>
      <c r="AS55" s="105"/>
    </row>
    <row r="56" spans="1:47" x14ac:dyDescent="0.25">
      <c r="A56" s="22" t="s">
        <v>57</v>
      </c>
      <c r="B56" s="33">
        <v>0.1</v>
      </c>
      <c r="C56" s="34">
        <v>0.13900000000000001</v>
      </c>
      <c r="D56" s="37">
        <f>ROUND(B56*$D$54,2)</f>
        <v>43.9</v>
      </c>
      <c r="E56" s="54">
        <v>0.13</v>
      </c>
      <c r="F56" s="37">
        <f>ROUND(E56*D56,2)</f>
        <v>5.71</v>
      </c>
      <c r="G56" s="36">
        <f t="shared" ref="G56:G63" si="126">+D56-F56</f>
        <v>38.19</v>
      </c>
      <c r="H56" s="37">
        <f>+ROUND($H$54*B56,2)</f>
        <v>55.8</v>
      </c>
      <c r="I56" s="38">
        <f t="shared" ref="I56:I63" si="127">+E56</f>
        <v>0.13</v>
      </c>
      <c r="J56" s="39">
        <f t="shared" ref="J56:J63" si="128">+I56*H56</f>
        <v>7.2539999999999996</v>
      </c>
      <c r="K56" s="36">
        <f>H56-J56</f>
        <v>48.545999999999999</v>
      </c>
      <c r="L56" s="55">
        <f>+K56/G56*100</f>
        <v>127.11704634721133</v>
      </c>
      <c r="M56" s="37">
        <f>+H56</f>
        <v>55.8</v>
      </c>
      <c r="N56" s="56">
        <v>0.21199999999999999</v>
      </c>
      <c r="O56" s="37">
        <f t="shared" ref="O56:O63" si="129">ROUND(N56*M56,2)</f>
        <v>11.83</v>
      </c>
      <c r="P56" s="158">
        <f t="shared" ref="P56:P63" si="130">M56-O56</f>
        <v>43.97</v>
      </c>
      <c r="Q56" s="165">
        <f t="shared" ref="Q56:Q63" si="131">+P56/G56*100</f>
        <v>115.13485205551193</v>
      </c>
      <c r="R56" s="28"/>
      <c r="S56" s="29">
        <f t="shared" si="125"/>
        <v>215</v>
      </c>
      <c r="T56" s="57">
        <f t="shared" ref="T56:T63" si="132">S56*G56</f>
        <v>8210.85</v>
      </c>
      <c r="U56" s="42">
        <f t="shared" ref="U56:U63" si="133">+S56*G56*12</f>
        <v>98530.200000000012</v>
      </c>
      <c r="V56" s="42">
        <f t="shared" ref="V56:V63" si="134">S56*K56</f>
        <v>10437.39</v>
      </c>
      <c r="W56" s="42">
        <f t="shared" ref="W56:W63" si="135">S56*K56*12</f>
        <v>125248.68</v>
      </c>
      <c r="X56" s="42">
        <f t="shared" ref="X56:X63" si="136">P56*S56</f>
        <v>9453.5499999999993</v>
      </c>
      <c r="Y56" s="42">
        <f>X56*12</f>
        <v>113442.59999999999</v>
      </c>
      <c r="AA56" s="42">
        <f t="shared" ref="AA56:AA63" si="137">V56-T56</f>
        <v>2226.5399999999991</v>
      </c>
      <c r="AB56" s="42">
        <f>AA56*12</f>
        <v>26718.479999999989</v>
      </c>
      <c r="AC56" s="42">
        <f t="shared" ref="AC56:AC63" si="138">X56-T56</f>
        <v>1242.6999999999989</v>
      </c>
      <c r="AD56" s="43">
        <f>AC56*12</f>
        <v>14912.399999999987</v>
      </c>
      <c r="AF56" s="38">
        <f>+N56</f>
        <v>0.21199999999999999</v>
      </c>
      <c r="AG56" s="37">
        <f t="shared" ref="AG56:AG63" si="139">H56*AF56</f>
        <v>11.829599999999999</v>
      </c>
      <c r="AH56" s="58">
        <f t="shared" ref="AH56:AH63" si="140">H56-AG56</f>
        <v>43.970399999999998</v>
      </c>
      <c r="AI56" s="106">
        <v>0.13</v>
      </c>
      <c r="AJ56" s="107">
        <f t="shared" ref="AJ56:AJ63" si="141">K56*AI56</f>
        <v>6.3109799999999998</v>
      </c>
      <c r="AK56" s="108">
        <f t="shared" ref="AK56:AK63" si="142">K56-AJ56</f>
        <v>42.235019999999999</v>
      </c>
      <c r="AM56" s="60">
        <f t="shared" ref="AM56:AM63" si="143">G56*0.3</f>
        <v>11.456999999999999</v>
      </c>
      <c r="AN56" s="61">
        <f t="shared" ref="AN56:AN63" si="144">D56-AM56</f>
        <v>32.442999999999998</v>
      </c>
      <c r="AO56" s="60">
        <f t="shared" ref="AO56:AO63" si="145">P56*0.3</f>
        <v>13.190999999999999</v>
      </c>
      <c r="AP56" s="58">
        <f t="shared" ref="AP56:AP63" si="146">M56-AO56</f>
        <v>42.608999999999995</v>
      </c>
      <c r="AQ56" s="63">
        <f>175*0.47</f>
        <v>82.25</v>
      </c>
      <c r="AR56" s="97">
        <f>AQ56*AN56</f>
        <v>2668.4367499999998</v>
      </c>
      <c r="AS56" s="98">
        <f>AQ56*AP56</f>
        <v>3504.5902499999997</v>
      </c>
      <c r="AT56" s="4"/>
      <c r="AU56" s="4"/>
    </row>
    <row r="57" spans="1:47" x14ac:dyDescent="0.25">
      <c r="A57" s="22" t="s">
        <v>58</v>
      </c>
      <c r="B57" s="33">
        <v>0.2</v>
      </c>
      <c r="C57" s="34">
        <v>0.08</v>
      </c>
      <c r="D57" s="37">
        <f t="shared" ref="D57:D63" si="147">ROUND(B57*$D$54,2)</f>
        <v>87.8</v>
      </c>
      <c r="E57" s="54">
        <v>0.13</v>
      </c>
      <c r="F57" s="37">
        <f t="shared" ref="F57:F63" si="148">ROUND(E57*D57,2)</f>
        <v>11.41</v>
      </c>
      <c r="G57" s="36">
        <f t="shared" si="126"/>
        <v>76.39</v>
      </c>
      <c r="H57" s="37">
        <f t="shared" ref="H57:H63" si="149">+ROUND($H$54*B57,2)</f>
        <v>111.6</v>
      </c>
      <c r="I57" s="38">
        <f t="shared" si="127"/>
        <v>0.13</v>
      </c>
      <c r="J57" s="39">
        <f t="shared" si="128"/>
        <v>14.507999999999999</v>
      </c>
      <c r="K57" s="36">
        <f t="shared" ref="K57:K63" si="150">H57-J57</f>
        <v>97.091999999999999</v>
      </c>
      <c r="L57" s="55">
        <f t="shared" ref="L57:L63" si="151">+K57/G57*100</f>
        <v>127.10040581227908</v>
      </c>
      <c r="M57" s="37">
        <f t="shared" ref="M57:M63" si="152">+H57</f>
        <v>111.6</v>
      </c>
      <c r="N57" s="56">
        <v>0.21199999999999999</v>
      </c>
      <c r="O57" s="37">
        <f t="shared" si="129"/>
        <v>23.66</v>
      </c>
      <c r="P57" s="158">
        <f t="shared" si="130"/>
        <v>87.94</v>
      </c>
      <c r="Q57" s="165">
        <f t="shared" si="131"/>
        <v>115.11978007592616</v>
      </c>
      <c r="R57" s="28"/>
      <c r="S57" s="29">
        <f t="shared" si="125"/>
        <v>124</v>
      </c>
      <c r="T57" s="57">
        <f t="shared" si="132"/>
        <v>9472.36</v>
      </c>
      <c r="U57" s="42">
        <f t="shared" si="133"/>
        <v>113668.32</v>
      </c>
      <c r="V57" s="42">
        <f t="shared" si="134"/>
        <v>12039.407999999999</v>
      </c>
      <c r="W57" s="42">
        <f t="shared" si="135"/>
        <v>144472.89600000001</v>
      </c>
      <c r="X57" s="42">
        <f t="shared" si="136"/>
        <v>10904.56</v>
      </c>
      <c r="Y57" s="42">
        <f t="shared" ref="Y57:Y63" si="153">X57*12</f>
        <v>130854.72</v>
      </c>
      <c r="AA57" s="42">
        <f t="shared" si="137"/>
        <v>2567.0479999999989</v>
      </c>
      <c r="AB57" s="42">
        <f t="shared" ref="AB57:AB63" si="154">AA57*12</f>
        <v>30804.575999999986</v>
      </c>
      <c r="AC57" s="42">
        <f t="shared" si="138"/>
        <v>1432.1999999999989</v>
      </c>
      <c r="AD57" s="43">
        <f t="shared" ref="AD57:AD63" si="155">AC57*12</f>
        <v>17186.399999999987</v>
      </c>
      <c r="AF57" s="38">
        <f t="shared" ref="AF57:AF63" si="156">+N57</f>
        <v>0.21199999999999999</v>
      </c>
      <c r="AG57" s="37">
        <f t="shared" si="139"/>
        <v>23.659199999999998</v>
      </c>
      <c r="AH57" s="58">
        <f t="shared" si="140"/>
        <v>87.940799999999996</v>
      </c>
      <c r="AI57" s="59">
        <v>0.13</v>
      </c>
      <c r="AJ57" s="37">
        <f t="shared" si="141"/>
        <v>12.62196</v>
      </c>
      <c r="AK57" s="58">
        <f t="shared" si="142"/>
        <v>84.470039999999997</v>
      </c>
      <c r="AM57" s="60">
        <f t="shared" si="143"/>
        <v>22.916999999999998</v>
      </c>
      <c r="AN57" s="61">
        <f t="shared" si="144"/>
        <v>64.882999999999996</v>
      </c>
      <c r="AO57" s="60">
        <f t="shared" si="145"/>
        <v>26.381999999999998</v>
      </c>
      <c r="AP57" s="58">
        <f t="shared" si="146"/>
        <v>85.217999999999989</v>
      </c>
      <c r="AQ57" s="63">
        <f t="shared" ref="AQ57:AQ63" si="157">175*0.47</f>
        <v>82.25</v>
      </c>
      <c r="AR57" s="97">
        <f t="shared" ref="AR57:AR63" si="158">AQ57*AN57</f>
        <v>5336.6267499999994</v>
      </c>
      <c r="AS57" s="98">
        <f t="shared" ref="AS57:AS63" si="159">AQ57*AP57</f>
        <v>7009.1804999999995</v>
      </c>
    </row>
    <row r="58" spans="1:47" x14ac:dyDescent="0.25">
      <c r="A58" s="22" t="s">
        <v>59</v>
      </c>
      <c r="B58" s="33">
        <v>0.3</v>
      </c>
      <c r="C58" s="34">
        <v>9.2999999999999999E-2</v>
      </c>
      <c r="D58" s="37">
        <f t="shared" si="147"/>
        <v>131.69999999999999</v>
      </c>
      <c r="E58" s="54">
        <v>0.13</v>
      </c>
      <c r="F58" s="37">
        <f t="shared" si="148"/>
        <v>17.12</v>
      </c>
      <c r="G58" s="36">
        <f t="shared" si="126"/>
        <v>114.57999999999998</v>
      </c>
      <c r="H58" s="37">
        <f t="shared" si="149"/>
        <v>167.4</v>
      </c>
      <c r="I58" s="38">
        <f t="shared" si="127"/>
        <v>0.13</v>
      </c>
      <c r="J58" s="39">
        <f t="shared" si="128"/>
        <v>21.762</v>
      </c>
      <c r="K58" s="36">
        <f t="shared" si="150"/>
        <v>145.63800000000001</v>
      </c>
      <c r="L58" s="55">
        <f t="shared" si="151"/>
        <v>127.10595217315415</v>
      </c>
      <c r="M58" s="37">
        <f t="shared" si="152"/>
        <v>167.4</v>
      </c>
      <c r="N58" s="56">
        <v>0.21199999999999999</v>
      </c>
      <c r="O58" s="37">
        <f t="shared" si="129"/>
        <v>35.49</v>
      </c>
      <c r="P58" s="158">
        <f t="shared" si="130"/>
        <v>131.91</v>
      </c>
      <c r="Q58" s="165">
        <f t="shared" si="131"/>
        <v>115.1248036306511</v>
      </c>
      <c r="R58" s="28"/>
      <c r="S58" s="29">
        <f t="shared" si="125"/>
        <v>144</v>
      </c>
      <c r="T58" s="57">
        <f t="shared" si="132"/>
        <v>16499.519999999997</v>
      </c>
      <c r="U58" s="42">
        <f t="shared" si="133"/>
        <v>197994.23999999996</v>
      </c>
      <c r="V58" s="42">
        <f t="shared" si="134"/>
        <v>20971.871999999999</v>
      </c>
      <c r="W58" s="42">
        <f t="shared" si="135"/>
        <v>251662.46399999998</v>
      </c>
      <c r="X58" s="42">
        <f t="shared" si="136"/>
        <v>18995.04</v>
      </c>
      <c r="Y58" s="42">
        <f t="shared" si="153"/>
        <v>227940.48000000001</v>
      </c>
      <c r="AA58" s="42">
        <f t="shared" si="137"/>
        <v>4472.3520000000026</v>
      </c>
      <c r="AB58" s="42">
        <f t="shared" si="154"/>
        <v>53668.224000000031</v>
      </c>
      <c r="AC58" s="42">
        <f t="shared" si="138"/>
        <v>2495.5200000000041</v>
      </c>
      <c r="AD58" s="43">
        <f t="shared" si="155"/>
        <v>29946.240000000049</v>
      </c>
      <c r="AF58" s="38">
        <f t="shared" si="156"/>
        <v>0.21199999999999999</v>
      </c>
      <c r="AG58" s="37">
        <f t="shared" si="139"/>
        <v>35.488799999999998</v>
      </c>
      <c r="AH58" s="58">
        <f t="shared" si="140"/>
        <v>131.91120000000001</v>
      </c>
      <c r="AI58" s="59">
        <v>0.13</v>
      </c>
      <c r="AJ58" s="37">
        <f t="shared" si="141"/>
        <v>18.932940000000002</v>
      </c>
      <c r="AK58" s="58">
        <f t="shared" si="142"/>
        <v>126.70506</v>
      </c>
      <c r="AM58" s="60">
        <f t="shared" si="143"/>
        <v>34.373999999999995</v>
      </c>
      <c r="AN58" s="61">
        <f t="shared" si="144"/>
        <v>97.325999999999993</v>
      </c>
      <c r="AO58" s="60">
        <f t="shared" si="145"/>
        <v>39.573</v>
      </c>
      <c r="AP58" s="58">
        <f t="shared" si="146"/>
        <v>127.827</v>
      </c>
      <c r="AQ58" s="63">
        <f t="shared" si="157"/>
        <v>82.25</v>
      </c>
      <c r="AR58" s="97">
        <f t="shared" si="158"/>
        <v>8005.0634999999993</v>
      </c>
      <c r="AS58" s="98">
        <f t="shared" si="159"/>
        <v>10513.77075</v>
      </c>
    </row>
    <row r="59" spans="1:47" x14ac:dyDescent="0.25">
      <c r="A59" s="22" t="s">
        <v>60</v>
      </c>
      <c r="B59" s="33">
        <v>0.35</v>
      </c>
      <c r="C59" s="34">
        <v>0.157</v>
      </c>
      <c r="D59" s="37">
        <f t="shared" si="147"/>
        <v>153.65</v>
      </c>
      <c r="E59" s="54">
        <v>0.1</v>
      </c>
      <c r="F59" s="37">
        <f t="shared" si="148"/>
        <v>15.37</v>
      </c>
      <c r="G59" s="36">
        <f t="shared" si="126"/>
        <v>138.28</v>
      </c>
      <c r="H59" s="37">
        <f t="shared" si="149"/>
        <v>195.3</v>
      </c>
      <c r="I59" s="38">
        <f t="shared" si="127"/>
        <v>0.1</v>
      </c>
      <c r="J59" s="39">
        <f t="shared" si="128"/>
        <v>19.53</v>
      </c>
      <c r="K59" s="36">
        <f t="shared" si="150"/>
        <v>175.77</v>
      </c>
      <c r="L59" s="55">
        <f t="shared" si="151"/>
        <v>127.11165750650855</v>
      </c>
      <c r="M59" s="37">
        <f t="shared" si="152"/>
        <v>195.3</v>
      </c>
      <c r="N59" s="56">
        <v>0.185</v>
      </c>
      <c r="O59" s="37">
        <f t="shared" si="129"/>
        <v>36.130000000000003</v>
      </c>
      <c r="P59" s="158">
        <f t="shared" si="130"/>
        <v>159.17000000000002</v>
      </c>
      <c r="Q59" s="165">
        <f t="shared" si="131"/>
        <v>115.1070292160833</v>
      </c>
      <c r="R59" s="28"/>
      <c r="S59" s="29">
        <f t="shared" si="125"/>
        <v>243</v>
      </c>
      <c r="T59" s="57">
        <f t="shared" si="132"/>
        <v>33602.04</v>
      </c>
      <c r="U59" s="42">
        <f t="shared" si="133"/>
        <v>403224.48</v>
      </c>
      <c r="V59" s="42">
        <f t="shared" si="134"/>
        <v>42712.11</v>
      </c>
      <c r="W59" s="42">
        <f t="shared" si="135"/>
        <v>512545.32</v>
      </c>
      <c r="X59" s="42">
        <f t="shared" si="136"/>
        <v>38678.310000000005</v>
      </c>
      <c r="Y59" s="42">
        <f t="shared" si="153"/>
        <v>464139.72000000009</v>
      </c>
      <c r="AA59" s="42">
        <f t="shared" si="137"/>
        <v>9110.07</v>
      </c>
      <c r="AB59" s="42">
        <f t="shared" si="154"/>
        <v>109320.84</v>
      </c>
      <c r="AC59" s="42">
        <f t="shared" si="138"/>
        <v>5076.2700000000041</v>
      </c>
      <c r="AD59" s="43">
        <f t="shared" si="155"/>
        <v>60915.240000000049</v>
      </c>
      <c r="AF59" s="38">
        <f t="shared" si="156"/>
        <v>0.185</v>
      </c>
      <c r="AG59" s="37">
        <f t="shared" si="139"/>
        <v>36.130500000000005</v>
      </c>
      <c r="AH59" s="58">
        <f t="shared" si="140"/>
        <v>159.1695</v>
      </c>
      <c r="AI59" s="59">
        <v>0.1</v>
      </c>
      <c r="AJ59" s="37">
        <f t="shared" si="141"/>
        <v>17.577000000000002</v>
      </c>
      <c r="AK59" s="58">
        <f t="shared" si="142"/>
        <v>158.19300000000001</v>
      </c>
      <c r="AM59" s="60">
        <f t="shared" si="143"/>
        <v>41.484000000000002</v>
      </c>
      <c r="AN59" s="61">
        <f t="shared" si="144"/>
        <v>112.166</v>
      </c>
      <c r="AO59" s="60">
        <f t="shared" si="145"/>
        <v>47.751000000000005</v>
      </c>
      <c r="AP59" s="58">
        <f t="shared" si="146"/>
        <v>147.54900000000001</v>
      </c>
      <c r="AQ59" s="63">
        <f t="shared" si="157"/>
        <v>82.25</v>
      </c>
      <c r="AR59" s="97">
        <f t="shared" si="158"/>
        <v>9225.6535000000003</v>
      </c>
      <c r="AS59" s="98">
        <f t="shared" si="159"/>
        <v>12135.90525</v>
      </c>
    </row>
    <row r="60" spans="1:47" x14ac:dyDescent="0.25">
      <c r="A60" s="22" t="s">
        <v>61</v>
      </c>
      <c r="B60" s="33">
        <v>0.43</v>
      </c>
      <c r="C60" s="34">
        <v>0.13600000000000001</v>
      </c>
      <c r="D60" s="37">
        <f t="shared" si="147"/>
        <v>188.77</v>
      </c>
      <c r="E60" s="54">
        <v>0.1</v>
      </c>
      <c r="F60" s="37">
        <f t="shared" si="148"/>
        <v>18.88</v>
      </c>
      <c r="G60" s="36">
        <f t="shared" si="126"/>
        <v>169.89000000000001</v>
      </c>
      <c r="H60" s="37">
        <f t="shared" si="149"/>
        <v>239.94</v>
      </c>
      <c r="I60" s="38">
        <f t="shared" si="127"/>
        <v>0.1</v>
      </c>
      <c r="J60" s="39">
        <f t="shared" si="128"/>
        <v>23.994</v>
      </c>
      <c r="K60" s="36">
        <f t="shared" si="150"/>
        <v>215.946</v>
      </c>
      <c r="L60" s="55">
        <f t="shared" si="151"/>
        <v>127.10930602154333</v>
      </c>
      <c r="M60" s="37">
        <f t="shared" si="152"/>
        <v>239.94</v>
      </c>
      <c r="N60" s="56">
        <v>0.185</v>
      </c>
      <c r="O60" s="37">
        <f t="shared" si="129"/>
        <v>44.39</v>
      </c>
      <c r="P60" s="158">
        <f t="shared" si="130"/>
        <v>195.55</v>
      </c>
      <c r="Q60" s="165">
        <f t="shared" si="131"/>
        <v>115.10389075284007</v>
      </c>
      <c r="R60" s="28"/>
      <c r="S60" s="29">
        <f t="shared" si="125"/>
        <v>211</v>
      </c>
      <c r="T60" s="57">
        <f t="shared" si="132"/>
        <v>35846.79</v>
      </c>
      <c r="U60" s="42">
        <f t="shared" si="133"/>
        <v>430161.48</v>
      </c>
      <c r="V60" s="42">
        <f t="shared" si="134"/>
        <v>45564.606</v>
      </c>
      <c r="W60" s="42">
        <f t="shared" si="135"/>
        <v>546775.272</v>
      </c>
      <c r="X60" s="42">
        <f t="shared" si="136"/>
        <v>41261.050000000003</v>
      </c>
      <c r="Y60" s="42">
        <f t="shared" si="153"/>
        <v>495132.60000000003</v>
      </c>
      <c r="AA60" s="42">
        <f t="shared" si="137"/>
        <v>9717.8159999999989</v>
      </c>
      <c r="AB60" s="42">
        <f t="shared" si="154"/>
        <v>116613.79199999999</v>
      </c>
      <c r="AC60" s="42">
        <f t="shared" si="138"/>
        <v>5414.260000000002</v>
      </c>
      <c r="AD60" s="43">
        <f t="shared" si="155"/>
        <v>64971.120000000024</v>
      </c>
      <c r="AF60" s="38">
        <f t="shared" si="156"/>
        <v>0.185</v>
      </c>
      <c r="AG60" s="37">
        <f t="shared" si="139"/>
        <v>44.3889</v>
      </c>
      <c r="AH60" s="58">
        <f t="shared" si="140"/>
        <v>195.55109999999999</v>
      </c>
      <c r="AI60" s="59">
        <v>0.1</v>
      </c>
      <c r="AJ60" s="37">
        <f t="shared" si="141"/>
        <v>21.5946</v>
      </c>
      <c r="AK60" s="58">
        <f t="shared" si="142"/>
        <v>194.35140000000001</v>
      </c>
      <c r="AM60" s="60">
        <f t="shared" si="143"/>
        <v>50.967000000000006</v>
      </c>
      <c r="AN60" s="61">
        <f t="shared" si="144"/>
        <v>137.803</v>
      </c>
      <c r="AO60" s="60">
        <f t="shared" si="145"/>
        <v>58.664999999999999</v>
      </c>
      <c r="AP60" s="58">
        <f t="shared" si="146"/>
        <v>181.27500000000001</v>
      </c>
      <c r="AQ60" s="63">
        <f t="shared" si="157"/>
        <v>82.25</v>
      </c>
      <c r="AR60" s="97">
        <f t="shared" si="158"/>
        <v>11334.29675</v>
      </c>
      <c r="AS60" s="98">
        <f t="shared" si="159"/>
        <v>14909.86875</v>
      </c>
    </row>
    <row r="61" spans="1:47" x14ac:dyDescent="0.25">
      <c r="A61" s="22" t="s">
        <v>62</v>
      </c>
      <c r="B61" s="33">
        <v>0.53</v>
      </c>
      <c r="C61" s="34">
        <v>0.158</v>
      </c>
      <c r="D61" s="37">
        <f t="shared" si="147"/>
        <v>232.67</v>
      </c>
      <c r="E61" s="54">
        <v>0.1</v>
      </c>
      <c r="F61" s="37">
        <f t="shared" si="148"/>
        <v>23.27</v>
      </c>
      <c r="G61" s="36">
        <f t="shared" si="126"/>
        <v>209.39999999999998</v>
      </c>
      <c r="H61" s="37">
        <f t="shared" si="149"/>
        <v>295.74</v>
      </c>
      <c r="I61" s="38">
        <f t="shared" si="127"/>
        <v>0.1</v>
      </c>
      <c r="J61" s="39">
        <f t="shared" si="128"/>
        <v>29.574000000000002</v>
      </c>
      <c r="K61" s="36">
        <f t="shared" si="150"/>
        <v>266.166</v>
      </c>
      <c r="L61" s="55">
        <f t="shared" si="151"/>
        <v>127.10888252148997</v>
      </c>
      <c r="M61" s="37">
        <f t="shared" si="152"/>
        <v>295.74</v>
      </c>
      <c r="N61" s="56">
        <v>0.185</v>
      </c>
      <c r="O61" s="37">
        <f t="shared" si="129"/>
        <v>54.71</v>
      </c>
      <c r="P61" s="158">
        <f t="shared" si="130"/>
        <v>241.03</v>
      </c>
      <c r="Q61" s="165">
        <f t="shared" si="131"/>
        <v>115.10506208213947</v>
      </c>
      <c r="R61" s="28"/>
      <c r="S61" s="29">
        <f t="shared" si="125"/>
        <v>245</v>
      </c>
      <c r="T61" s="57">
        <f t="shared" si="132"/>
        <v>51302.999999999993</v>
      </c>
      <c r="U61" s="42">
        <f t="shared" si="133"/>
        <v>615635.99999999988</v>
      </c>
      <c r="V61" s="42">
        <f t="shared" si="134"/>
        <v>65210.67</v>
      </c>
      <c r="W61" s="42">
        <f t="shared" si="135"/>
        <v>782528.04</v>
      </c>
      <c r="X61" s="42">
        <f t="shared" si="136"/>
        <v>59052.35</v>
      </c>
      <c r="Y61" s="42">
        <f t="shared" si="153"/>
        <v>708628.2</v>
      </c>
      <c r="AA61" s="42">
        <f t="shared" si="137"/>
        <v>13907.670000000006</v>
      </c>
      <c r="AB61" s="42">
        <f t="shared" si="154"/>
        <v>166892.04000000007</v>
      </c>
      <c r="AC61" s="42">
        <f t="shared" si="138"/>
        <v>7749.3500000000058</v>
      </c>
      <c r="AD61" s="43">
        <f t="shared" si="155"/>
        <v>92992.20000000007</v>
      </c>
      <c r="AF61" s="38">
        <f t="shared" si="156"/>
        <v>0.185</v>
      </c>
      <c r="AG61" s="37">
        <f t="shared" si="139"/>
        <v>54.7119</v>
      </c>
      <c r="AH61" s="58">
        <f t="shared" si="140"/>
        <v>241.02809999999999</v>
      </c>
      <c r="AI61" s="59">
        <v>0.1</v>
      </c>
      <c r="AJ61" s="37">
        <f t="shared" si="141"/>
        <v>26.616600000000002</v>
      </c>
      <c r="AK61" s="58">
        <f t="shared" si="142"/>
        <v>239.54939999999999</v>
      </c>
      <c r="AM61" s="60">
        <f t="shared" si="143"/>
        <v>62.819999999999993</v>
      </c>
      <c r="AN61" s="61">
        <f t="shared" si="144"/>
        <v>169.85</v>
      </c>
      <c r="AO61" s="60">
        <f t="shared" si="145"/>
        <v>72.308999999999997</v>
      </c>
      <c r="AP61" s="58">
        <f t="shared" si="146"/>
        <v>223.43100000000001</v>
      </c>
      <c r="AQ61" s="63">
        <f t="shared" si="157"/>
        <v>82.25</v>
      </c>
      <c r="AR61" s="97">
        <f t="shared" si="158"/>
        <v>13970.1625</v>
      </c>
      <c r="AS61" s="98">
        <f t="shared" si="159"/>
        <v>18377.19975</v>
      </c>
    </row>
    <row r="62" spans="1:47" x14ac:dyDescent="0.25">
      <c r="A62" s="22" t="s">
        <v>63</v>
      </c>
      <c r="B62" s="33">
        <v>0.66</v>
      </c>
      <c r="C62" s="34">
        <v>8.3000000000000004E-2</v>
      </c>
      <c r="D62" s="37">
        <f t="shared" si="147"/>
        <v>289.74</v>
      </c>
      <c r="E62" s="54">
        <v>0.1</v>
      </c>
      <c r="F62" s="37">
        <f t="shared" si="148"/>
        <v>28.97</v>
      </c>
      <c r="G62" s="36">
        <f t="shared" si="126"/>
        <v>260.77</v>
      </c>
      <c r="H62" s="37">
        <f t="shared" si="149"/>
        <v>368.28</v>
      </c>
      <c r="I62" s="38">
        <f t="shared" si="127"/>
        <v>0.1</v>
      </c>
      <c r="J62" s="39">
        <f t="shared" si="128"/>
        <v>36.827999999999996</v>
      </c>
      <c r="K62" s="36">
        <f t="shared" si="150"/>
        <v>331.452</v>
      </c>
      <c r="L62" s="55">
        <f t="shared" si="151"/>
        <v>127.10511178433104</v>
      </c>
      <c r="M62" s="37">
        <f t="shared" si="152"/>
        <v>368.28</v>
      </c>
      <c r="N62" s="56">
        <v>0.185</v>
      </c>
      <c r="O62" s="37">
        <f t="shared" si="129"/>
        <v>68.13</v>
      </c>
      <c r="P62" s="158">
        <f t="shared" si="130"/>
        <v>300.14999999999998</v>
      </c>
      <c r="Q62" s="165">
        <f t="shared" si="131"/>
        <v>115.10143037926142</v>
      </c>
      <c r="R62" s="28"/>
      <c r="S62" s="29">
        <f t="shared" si="125"/>
        <v>129</v>
      </c>
      <c r="T62" s="57">
        <f t="shared" si="132"/>
        <v>33639.329999999994</v>
      </c>
      <c r="U62" s="42">
        <f t="shared" si="133"/>
        <v>403671.95999999996</v>
      </c>
      <c r="V62" s="42">
        <f t="shared" si="134"/>
        <v>42757.307999999997</v>
      </c>
      <c r="W62" s="42">
        <f t="shared" si="135"/>
        <v>513087.696</v>
      </c>
      <c r="X62" s="42">
        <f t="shared" si="136"/>
        <v>38719.35</v>
      </c>
      <c r="Y62" s="42">
        <f t="shared" si="153"/>
        <v>464632.19999999995</v>
      </c>
      <c r="AA62" s="42">
        <f t="shared" si="137"/>
        <v>9117.9780000000028</v>
      </c>
      <c r="AB62" s="42">
        <f t="shared" si="154"/>
        <v>109415.73600000003</v>
      </c>
      <c r="AC62" s="42">
        <f t="shared" si="138"/>
        <v>5080.0200000000041</v>
      </c>
      <c r="AD62" s="43">
        <f t="shared" si="155"/>
        <v>60960.240000000049</v>
      </c>
      <c r="AF62" s="38">
        <f t="shared" si="156"/>
        <v>0.185</v>
      </c>
      <c r="AG62" s="37">
        <f t="shared" si="139"/>
        <v>68.131799999999998</v>
      </c>
      <c r="AH62" s="58">
        <f t="shared" si="140"/>
        <v>300.14819999999997</v>
      </c>
      <c r="AI62" s="59">
        <v>0.1</v>
      </c>
      <c r="AJ62" s="37">
        <f t="shared" si="141"/>
        <v>33.145200000000003</v>
      </c>
      <c r="AK62" s="58">
        <f t="shared" si="142"/>
        <v>298.30680000000001</v>
      </c>
      <c r="AM62" s="60">
        <f t="shared" si="143"/>
        <v>78.230999999999995</v>
      </c>
      <c r="AN62" s="61">
        <f t="shared" si="144"/>
        <v>211.50900000000001</v>
      </c>
      <c r="AO62" s="60">
        <f t="shared" si="145"/>
        <v>90.044999999999987</v>
      </c>
      <c r="AP62" s="58">
        <f t="shared" si="146"/>
        <v>278.23500000000001</v>
      </c>
      <c r="AQ62" s="63">
        <f t="shared" si="157"/>
        <v>82.25</v>
      </c>
      <c r="AR62" s="97">
        <f t="shared" si="158"/>
        <v>17396.615250000003</v>
      </c>
      <c r="AS62" s="98">
        <f t="shared" si="159"/>
        <v>22884.828750000001</v>
      </c>
    </row>
    <row r="63" spans="1:47" ht="16.5" thickBot="1" x14ac:dyDescent="0.3">
      <c r="A63" s="22" t="s">
        <v>64</v>
      </c>
      <c r="B63" s="33">
        <v>0.77</v>
      </c>
      <c r="C63" s="34">
        <v>0.124</v>
      </c>
      <c r="D63" s="37">
        <f t="shared" si="147"/>
        <v>338.03</v>
      </c>
      <c r="E63" s="54">
        <v>0.1</v>
      </c>
      <c r="F63" s="37">
        <f t="shared" si="148"/>
        <v>33.799999999999997</v>
      </c>
      <c r="G63" s="36">
        <f t="shared" si="126"/>
        <v>304.22999999999996</v>
      </c>
      <c r="H63" s="37">
        <f t="shared" si="149"/>
        <v>429.66</v>
      </c>
      <c r="I63" s="38">
        <f t="shared" si="127"/>
        <v>0.1</v>
      </c>
      <c r="J63" s="39">
        <f t="shared" si="128"/>
        <v>42.966000000000008</v>
      </c>
      <c r="K63" s="36">
        <f t="shared" si="150"/>
        <v>386.69400000000002</v>
      </c>
      <c r="L63" s="55">
        <f t="shared" si="151"/>
        <v>127.10580810570953</v>
      </c>
      <c r="M63" s="37">
        <f t="shared" si="152"/>
        <v>429.66</v>
      </c>
      <c r="N63" s="56">
        <v>0.185</v>
      </c>
      <c r="O63" s="37">
        <f t="shared" si="129"/>
        <v>79.489999999999995</v>
      </c>
      <c r="P63" s="158">
        <f t="shared" si="130"/>
        <v>350.17</v>
      </c>
      <c r="Q63" s="165">
        <f t="shared" si="131"/>
        <v>115.10041744732607</v>
      </c>
      <c r="R63" s="28"/>
      <c r="S63" s="29">
        <f t="shared" si="125"/>
        <v>192</v>
      </c>
      <c r="T63" s="57">
        <f t="shared" si="132"/>
        <v>58412.159999999989</v>
      </c>
      <c r="U63" s="42">
        <f t="shared" si="133"/>
        <v>700945.91999999993</v>
      </c>
      <c r="V63" s="42">
        <f t="shared" si="134"/>
        <v>74245.248000000007</v>
      </c>
      <c r="W63" s="42">
        <f t="shared" si="135"/>
        <v>890942.97600000002</v>
      </c>
      <c r="X63" s="42">
        <f t="shared" si="136"/>
        <v>67232.639999999999</v>
      </c>
      <c r="Y63" s="42">
        <f t="shared" si="153"/>
        <v>806791.67999999993</v>
      </c>
      <c r="AA63" s="42">
        <f t="shared" si="137"/>
        <v>15833.088000000018</v>
      </c>
      <c r="AB63" s="42">
        <f t="shared" si="154"/>
        <v>189997.05600000022</v>
      </c>
      <c r="AC63" s="42">
        <f t="shared" si="138"/>
        <v>8820.4800000000105</v>
      </c>
      <c r="AD63" s="43">
        <f t="shared" si="155"/>
        <v>105845.76000000013</v>
      </c>
      <c r="AF63" s="38">
        <f t="shared" si="156"/>
        <v>0.185</v>
      </c>
      <c r="AG63" s="64">
        <f t="shared" si="139"/>
        <v>79.487099999999998</v>
      </c>
      <c r="AH63" s="65">
        <f t="shared" si="140"/>
        <v>350.17290000000003</v>
      </c>
      <c r="AI63" s="66">
        <v>0.1</v>
      </c>
      <c r="AJ63" s="64">
        <f t="shared" si="141"/>
        <v>38.669400000000003</v>
      </c>
      <c r="AK63" s="65">
        <f t="shared" si="142"/>
        <v>348.02460000000002</v>
      </c>
      <c r="AM63" s="67">
        <f t="shared" si="143"/>
        <v>91.268999999999991</v>
      </c>
      <c r="AN63" s="68">
        <f t="shared" si="144"/>
        <v>246.76099999999997</v>
      </c>
      <c r="AO63" s="67">
        <f t="shared" si="145"/>
        <v>105.051</v>
      </c>
      <c r="AP63" s="69">
        <f t="shared" si="146"/>
        <v>324.60900000000004</v>
      </c>
      <c r="AQ63" s="63">
        <f t="shared" si="157"/>
        <v>82.25</v>
      </c>
      <c r="AR63" s="97">
        <f t="shared" si="158"/>
        <v>20296.092249999998</v>
      </c>
      <c r="AS63" s="99">
        <f t="shared" si="159"/>
        <v>26699.090250000005</v>
      </c>
    </row>
    <row r="64" spans="1:47" ht="16.5" thickBot="1" x14ac:dyDescent="0.3">
      <c r="S64" s="29">
        <f t="shared" ref="S64:U64" si="160">SUM(S55:S63)</f>
        <v>1550</v>
      </c>
      <c r="T64" s="71">
        <f t="shared" si="160"/>
        <v>246986.05</v>
      </c>
      <c r="U64" s="71">
        <f t="shared" si="160"/>
        <v>2963832.5999999996</v>
      </c>
      <c r="V64" s="71">
        <f t="shared" ref="V64:W64" si="161">SUM(V55:V63)</f>
        <v>313938.61199999996</v>
      </c>
      <c r="W64" s="71">
        <f t="shared" si="161"/>
        <v>3767263.3440000005</v>
      </c>
      <c r="X64" s="71">
        <f>SUM(X55:X63)</f>
        <v>284296.85000000003</v>
      </c>
      <c r="Y64" s="71">
        <f>SUM(Y55:Y63)</f>
        <v>3411562.2</v>
      </c>
      <c r="AA64" s="71">
        <f t="shared" ref="AA64:AB64" si="162">SUM(AA55:AA63)</f>
        <v>66952.562000000034</v>
      </c>
      <c r="AB64" s="71">
        <f t="shared" si="162"/>
        <v>803430.7440000003</v>
      </c>
      <c r="AC64" s="71">
        <f>SUM(AC55:AC63)</f>
        <v>37310.800000000032</v>
      </c>
      <c r="AD64" s="72">
        <f>SUM(AD55:AD63)</f>
        <v>447729.60000000033</v>
      </c>
      <c r="AM64" s="73">
        <f>SUM(AM56:AM63)</f>
        <v>393.51900000000001</v>
      </c>
      <c r="AN64" s="91">
        <f>SUM(AN56:AN63)</f>
        <v>1072.741</v>
      </c>
      <c r="AO64" s="91">
        <f t="shared" ref="AO64:AQ64" si="163">SUM(AO56:AO63)</f>
        <v>452.96699999999993</v>
      </c>
      <c r="AP64" s="91">
        <f t="shared" si="163"/>
        <v>1410.7530000000002</v>
      </c>
      <c r="AQ64" s="100">
        <f t="shared" si="163"/>
        <v>658</v>
      </c>
      <c r="AR64" s="101">
        <f>SUM(AR56:AR63)</f>
        <v>88232.947250000012</v>
      </c>
      <c r="AS64" s="74">
        <f t="shared" ref="AS64" si="164">SUM(AS56:AS63)</f>
        <v>116034.43425000001</v>
      </c>
    </row>
    <row r="65" spans="1:45" x14ac:dyDescent="0.25">
      <c r="S65" s="78" t="s">
        <v>65</v>
      </c>
      <c r="T65" s="71">
        <f>+T64*0.9</f>
        <v>222287.44500000001</v>
      </c>
      <c r="U65" s="71">
        <f>+U64*0.9</f>
        <v>2667449.34</v>
      </c>
      <c r="V65" s="71">
        <f t="shared" ref="V65:Y65" si="165">+V64*0.9</f>
        <v>282544.75079999998</v>
      </c>
      <c r="W65" s="71">
        <f t="shared" si="165"/>
        <v>3390537.0096000005</v>
      </c>
      <c r="X65" s="71">
        <f t="shared" si="165"/>
        <v>255867.16500000004</v>
      </c>
      <c r="Y65" s="71">
        <f t="shared" si="165"/>
        <v>3070405.9800000004</v>
      </c>
      <c r="AA65" s="71">
        <f t="shared" ref="AA65:AD65" si="166">+AA64*0.9</f>
        <v>60257.305800000031</v>
      </c>
      <c r="AB65" s="71">
        <f t="shared" si="166"/>
        <v>723087.66960000026</v>
      </c>
      <c r="AC65" s="71">
        <f t="shared" si="166"/>
        <v>33579.72000000003</v>
      </c>
      <c r="AD65" s="71">
        <f t="shared" si="166"/>
        <v>402956.64000000031</v>
      </c>
      <c r="AM65" s="80"/>
      <c r="AN65" s="80"/>
      <c r="AQ65" s="109"/>
      <c r="AR65" s="80"/>
      <c r="AS65" s="80"/>
    </row>
    <row r="66" spans="1:45" ht="24" hidden="1" thickBot="1" x14ac:dyDescent="0.4">
      <c r="S66" s="31"/>
      <c r="T66" s="93"/>
      <c r="U66" s="93"/>
      <c r="V66" s="93"/>
      <c r="W66" s="93"/>
      <c r="X66" s="93"/>
      <c r="Y66" s="93"/>
      <c r="AA66" s="93"/>
      <c r="AB66" s="93"/>
      <c r="AC66" s="93"/>
      <c r="AD66" s="93"/>
      <c r="AM66" s="73">
        <f>AM64+AM48+AM32+AM16</f>
        <v>1627.8389999999997</v>
      </c>
      <c r="AN66" s="91">
        <f>AN64+AN48+AN32+AN16</f>
        <v>4648.0210000000006</v>
      </c>
      <c r="AO66" s="91">
        <f t="shared" ref="AO66:AQ66" si="167">AO64+AO48+AO32+AO16</f>
        <v>1870.3980000000001</v>
      </c>
      <c r="AP66" s="91">
        <f t="shared" si="167"/>
        <v>6102.1819999999998</v>
      </c>
      <c r="AQ66" s="110">
        <f t="shared" si="167"/>
        <v>6064.8799999999992</v>
      </c>
      <c r="AR66" s="111">
        <f>ROUNDDOWN((AR64+AR48+AR32+AR16),-4)</f>
        <v>900000</v>
      </c>
      <c r="AS66" s="111">
        <f>ROUNDDOWN((AS64+AS48+AS32+AS16),-4)</f>
        <v>1180000</v>
      </c>
    </row>
    <row r="67" spans="1:45" ht="106.5" hidden="1" customHeight="1" x14ac:dyDescent="0.25">
      <c r="S67" s="31"/>
      <c r="T67" s="93"/>
      <c r="U67" s="93"/>
      <c r="V67" s="93"/>
      <c r="W67" s="93"/>
      <c r="X67" s="93"/>
      <c r="Y67" s="93"/>
      <c r="AA67" s="93"/>
      <c r="AB67" s="93"/>
      <c r="AC67" s="93"/>
      <c r="AD67" s="93"/>
      <c r="AM67" s="171" t="s">
        <v>70</v>
      </c>
      <c r="AN67" s="172"/>
      <c r="AO67" s="172"/>
      <c r="AP67" s="172"/>
      <c r="AQ67" s="172"/>
      <c r="AR67" s="172"/>
      <c r="AS67" s="173"/>
    </row>
    <row r="68" spans="1:45" hidden="1" x14ac:dyDescent="0.25">
      <c r="AQ68" s="80"/>
      <c r="AR68" s="80"/>
      <c r="AS68" s="80"/>
    </row>
    <row r="69" spans="1:45" ht="106.5" hidden="1" customHeight="1" x14ac:dyDescent="0.25">
      <c r="G69" s="2"/>
      <c r="Q69" s="174" t="s">
        <v>71</v>
      </c>
      <c r="R69" s="175"/>
      <c r="S69" s="175"/>
      <c r="T69" s="175"/>
      <c r="U69" s="175"/>
      <c r="V69" s="175"/>
      <c r="W69" s="175"/>
      <c r="X69" s="175"/>
      <c r="Y69" s="176"/>
      <c r="AA69" s="177" t="s">
        <v>72</v>
      </c>
      <c r="AB69" s="178"/>
      <c r="AC69" s="178"/>
      <c r="AD69" s="179"/>
      <c r="AQ69" s="80"/>
      <c r="AR69" s="80"/>
      <c r="AS69" s="80"/>
    </row>
    <row r="70" spans="1:45" ht="106.5" hidden="1" customHeight="1" x14ac:dyDescent="0.25">
      <c r="U70" s="2"/>
      <c r="V70" s="2"/>
      <c r="W70" s="2"/>
      <c r="AQ70" s="80"/>
      <c r="AR70" s="80"/>
      <c r="AS70" s="80"/>
    </row>
    <row r="71" spans="1:45" ht="106.5" hidden="1" customHeight="1" x14ac:dyDescent="0.25">
      <c r="A71" s="180" t="s">
        <v>73</v>
      </c>
      <c r="B71" s="181"/>
      <c r="C71" s="181"/>
      <c r="D71" s="181"/>
      <c r="E71" s="181"/>
      <c r="F71" s="181"/>
      <c r="G71" s="181"/>
      <c r="H71" s="181"/>
      <c r="I71" s="181"/>
      <c r="J71" s="182"/>
      <c r="T71" s="183" t="s">
        <v>5</v>
      </c>
      <c r="U71" s="184"/>
      <c r="V71" s="183" t="s">
        <v>6</v>
      </c>
      <c r="W71" s="184"/>
      <c r="X71" s="177" t="s">
        <v>7</v>
      </c>
      <c r="Y71" s="179"/>
      <c r="AA71" s="183" t="s">
        <v>6</v>
      </c>
      <c r="AB71" s="184"/>
      <c r="AC71" s="177" t="s">
        <v>7</v>
      </c>
      <c r="AD71" s="179"/>
      <c r="AQ71" s="80"/>
      <c r="AR71" s="80"/>
      <c r="AS71" s="80"/>
    </row>
    <row r="72" spans="1:45" s="112" customFormat="1" ht="76.5" hidden="1" x14ac:dyDescent="0.2">
      <c r="C72" s="113" t="s">
        <v>74</v>
      </c>
      <c r="D72" s="114" t="s">
        <v>75</v>
      </c>
      <c r="E72" s="115" t="s">
        <v>76</v>
      </c>
      <c r="F72" s="116" t="s">
        <v>77</v>
      </c>
      <c r="G72" s="114" t="s">
        <v>78</v>
      </c>
      <c r="H72" s="114" t="s">
        <v>79</v>
      </c>
      <c r="I72" s="116" t="s">
        <v>80</v>
      </c>
      <c r="J72" s="116" t="s">
        <v>81</v>
      </c>
      <c r="M72" s="117"/>
      <c r="N72" s="118"/>
      <c r="O72" s="117"/>
      <c r="P72" s="161"/>
      <c r="Q72" s="166"/>
      <c r="R72" s="9"/>
      <c r="S72" s="119" t="s">
        <v>26</v>
      </c>
      <c r="T72" s="14" t="s">
        <v>27</v>
      </c>
      <c r="U72" s="14" t="s">
        <v>28</v>
      </c>
      <c r="V72" s="14" t="s">
        <v>29</v>
      </c>
      <c r="W72" s="14" t="s">
        <v>30</v>
      </c>
      <c r="X72" s="14" t="s">
        <v>31</v>
      </c>
      <c r="Y72" s="14" t="s">
        <v>32</v>
      </c>
      <c r="AA72" s="14" t="s">
        <v>29</v>
      </c>
      <c r="AB72" s="14" t="s">
        <v>30</v>
      </c>
      <c r="AC72" s="14" t="s">
        <v>31</v>
      </c>
      <c r="AD72" s="14" t="s">
        <v>32</v>
      </c>
      <c r="AQ72" s="120"/>
      <c r="AR72" s="120"/>
      <c r="AS72" s="120"/>
    </row>
    <row r="73" spans="1:45" ht="16.5" hidden="1" thickBot="1" x14ac:dyDescent="0.3">
      <c r="A73" s="121" t="s">
        <v>82</v>
      </c>
      <c r="B73" s="122">
        <v>1030</v>
      </c>
      <c r="C73" s="123">
        <f>0.35*D54*B73</f>
        <v>158259.49999999997</v>
      </c>
      <c r="D73" s="124">
        <f>C73*12</f>
        <v>1899113.9999999995</v>
      </c>
      <c r="E73" s="125">
        <f>0.65*D54*B73</f>
        <v>293910.5</v>
      </c>
      <c r="F73" s="126">
        <f>E73*12</f>
        <v>3526926</v>
      </c>
      <c r="G73" s="127">
        <f>0.35*H54*B73</f>
        <v>201158.99999999997</v>
      </c>
      <c r="H73" s="124">
        <f>G73*12</f>
        <v>2413907.9999999995</v>
      </c>
      <c r="I73" s="124">
        <f>0.65*B73*H54</f>
        <v>373581</v>
      </c>
      <c r="J73" s="126">
        <f>I73*12</f>
        <v>4482972</v>
      </c>
      <c r="Q73" s="164"/>
      <c r="R73" s="22"/>
      <c r="S73" s="29">
        <v>12600</v>
      </c>
      <c r="T73" s="30"/>
      <c r="U73" s="31"/>
      <c r="V73" s="31"/>
      <c r="W73" s="31"/>
      <c r="X73" s="30"/>
      <c r="Y73" s="3"/>
      <c r="AA73" s="31"/>
      <c r="AB73" s="31"/>
      <c r="AC73" s="30"/>
      <c r="AD73" s="3"/>
      <c r="AQ73" s="80"/>
      <c r="AR73" s="80"/>
      <c r="AS73" s="80"/>
    </row>
    <row r="74" spans="1:45" ht="16.5" hidden="1" thickBot="1" x14ac:dyDescent="0.3">
      <c r="A74" s="128" t="s">
        <v>83</v>
      </c>
      <c r="B74" s="128"/>
      <c r="C74" s="128"/>
      <c r="D74" s="129"/>
      <c r="E74" s="130">
        <v>1</v>
      </c>
      <c r="F74" s="126">
        <f>J73-F73</f>
        <v>956046</v>
      </c>
      <c r="G74" s="2"/>
      <c r="I74" s="80"/>
      <c r="J74" s="80"/>
      <c r="Q74" s="164" t="s">
        <v>56</v>
      </c>
      <c r="R74" s="22"/>
      <c r="S74" s="29">
        <v>374</v>
      </c>
      <c r="T74" s="29"/>
      <c r="U74" s="29"/>
      <c r="V74" s="29"/>
      <c r="W74" s="29"/>
      <c r="X74" s="42"/>
      <c r="Y74" s="43"/>
      <c r="AA74" s="29"/>
      <c r="AB74" s="29"/>
      <c r="AC74" s="42"/>
      <c r="AD74" s="43"/>
      <c r="AQ74" s="80"/>
      <c r="AR74" s="80"/>
      <c r="AS74" s="80"/>
    </row>
    <row r="75" spans="1:45" ht="16.5" hidden="1" thickBot="1" x14ac:dyDescent="0.3">
      <c r="E75" s="131">
        <v>0.9</v>
      </c>
      <c r="F75" s="132">
        <f>F74*E75</f>
        <v>860441.4</v>
      </c>
      <c r="G75" s="80"/>
      <c r="H75" s="80"/>
      <c r="I75" s="80"/>
      <c r="J75" s="80"/>
      <c r="Q75" s="164" t="s">
        <v>57</v>
      </c>
      <c r="R75" s="22"/>
      <c r="S75" s="29">
        <v>1752</v>
      </c>
      <c r="T75" s="133">
        <f t="shared" ref="T75:Y82" si="168">T8+T24+T40+T56</f>
        <v>68546.100000000006</v>
      </c>
      <c r="U75" s="133">
        <f t="shared" si="168"/>
        <v>822553.2</v>
      </c>
      <c r="V75" s="133">
        <f t="shared" si="168"/>
        <v>87094.749000000011</v>
      </c>
      <c r="W75" s="133">
        <f t="shared" si="168"/>
        <v>1045136.9880000001</v>
      </c>
      <c r="X75" s="133">
        <f t="shared" si="168"/>
        <v>78717.97</v>
      </c>
      <c r="Y75" s="133">
        <f t="shared" si="168"/>
        <v>944615.6399999999</v>
      </c>
      <c r="AA75" s="42">
        <f t="shared" ref="AA75:AD82" si="169">+AA8+AA24+AA40+AA56</f>
        <v>18548.649000000005</v>
      </c>
      <c r="AB75" s="42">
        <f t="shared" si="169"/>
        <v>222583.78800000003</v>
      </c>
      <c r="AC75" s="42">
        <f t="shared" si="169"/>
        <v>10171.869999999995</v>
      </c>
      <c r="AD75" s="43">
        <f t="shared" si="169"/>
        <v>122062.43999999994</v>
      </c>
      <c r="AQ75" s="80"/>
      <c r="AR75" s="80"/>
      <c r="AS75" s="80"/>
    </row>
    <row r="76" spans="1:45" ht="16.5" hidden="1" thickBot="1" x14ac:dyDescent="0.3">
      <c r="A76" s="167" t="s">
        <v>84</v>
      </c>
      <c r="B76" s="167"/>
      <c r="C76" s="167"/>
      <c r="D76" s="167"/>
      <c r="E76" s="167"/>
      <c r="F76" s="167"/>
      <c r="G76" s="167"/>
      <c r="H76" s="167"/>
      <c r="I76" s="167"/>
      <c r="J76" s="167"/>
      <c r="Q76" s="164" t="s">
        <v>58</v>
      </c>
      <c r="R76" s="22"/>
      <c r="S76" s="29">
        <v>1009</v>
      </c>
      <c r="T76" s="133">
        <f t="shared" si="168"/>
        <v>78950.38</v>
      </c>
      <c r="U76" s="133">
        <f t="shared" si="168"/>
        <v>947404.56</v>
      </c>
      <c r="V76" s="133">
        <f t="shared" si="168"/>
        <v>100308.27</v>
      </c>
      <c r="W76" s="133">
        <f t="shared" si="168"/>
        <v>1203699.24</v>
      </c>
      <c r="X76" s="133">
        <f t="shared" si="168"/>
        <v>90660.68</v>
      </c>
      <c r="Y76" s="133">
        <f t="shared" si="168"/>
        <v>1087928.1599999999</v>
      </c>
      <c r="AA76" s="42">
        <f t="shared" si="169"/>
        <v>21357.89000000001</v>
      </c>
      <c r="AB76" s="42">
        <f t="shared" si="169"/>
        <v>256294.68000000011</v>
      </c>
      <c r="AC76" s="42">
        <f t="shared" si="169"/>
        <v>11710.299999999994</v>
      </c>
      <c r="AD76" s="43">
        <f t="shared" si="169"/>
        <v>140523.59999999995</v>
      </c>
      <c r="AQ76" s="80"/>
      <c r="AR76" s="80"/>
      <c r="AS76" s="80"/>
    </row>
    <row r="77" spans="1:45" ht="16.5" hidden="1" thickBot="1" x14ac:dyDescent="0.3">
      <c r="A77" s="121" t="s">
        <v>82</v>
      </c>
      <c r="B77" s="122">
        <v>830</v>
      </c>
      <c r="C77" s="123">
        <f>0.35*439*B77</f>
        <v>127529.49999999999</v>
      </c>
      <c r="D77" s="124">
        <f>C77*12</f>
        <v>1530353.9999999998</v>
      </c>
      <c r="E77" s="125">
        <f>0.65*B77*439</f>
        <v>236840.5</v>
      </c>
      <c r="F77" s="126">
        <f>E77*12</f>
        <v>2842086</v>
      </c>
      <c r="G77" s="127">
        <f>0.35*553*B77</f>
        <v>160646.5</v>
      </c>
      <c r="H77" s="124">
        <f>G77*12</f>
        <v>1927758</v>
      </c>
      <c r="I77" s="124">
        <f>0.65*558*B77</f>
        <v>301041</v>
      </c>
      <c r="J77" s="126">
        <f>I77*12</f>
        <v>3612492</v>
      </c>
      <c r="Q77" s="164" t="s">
        <v>59</v>
      </c>
      <c r="R77" s="22"/>
      <c r="S77" s="29">
        <v>1173</v>
      </c>
      <c r="T77" s="133">
        <f t="shared" si="168"/>
        <v>137682.81</v>
      </c>
      <c r="U77" s="133">
        <f t="shared" si="168"/>
        <v>1652193.72</v>
      </c>
      <c r="V77" s="133">
        <f t="shared" si="168"/>
        <v>174931.76700000002</v>
      </c>
      <c r="W77" s="133">
        <f t="shared" si="168"/>
        <v>2099181.2039999999</v>
      </c>
      <c r="X77" s="133">
        <f t="shared" si="168"/>
        <v>158106.84000000003</v>
      </c>
      <c r="Y77" s="133">
        <f t="shared" si="168"/>
        <v>1897282.08</v>
      </c>
      <c r="AA77" s="42">
        <f t="shared" si="169"/>
        <v>37248.957000000009</v>
      </c>
      <c r="AB77" s="42">
        <f t="shared" si="169"/>
        <v>446987.48400000017</v>
      </c>
      <c r="AC77" s="42">
        <f t="shared" si="169"/>
        <v>20424.030000000006</v>
      </c>
      <c r="AD77" s="43">
        <f t="shared" si="169"/>
        <v>245088.3600000001</v>
      </c>
      <c r="AQ77" s="80"/>
      <c r="AR77" s="80"/>
      <c r="AS77" s="80"/>
    </row>
    <row r="78" spans="1:45" ht="16.5" hidden="1" thickBot="1" x14ac:dyDescent="0.3">
      <c r="A78" s="2" t="s">
        <v>83</v>
      </c>
      <c r="B78" s="134"/>
      <c r="E78" s="135">
        <v>1</v>
      </c>
      <c r="F78" s="136">
        <f>J77-F77</f>
        <v>770406</v>
      </c>
      <c r="G78" s="2"/>
      <c r="I78" s="80"/>
      <c r="J78" s="80"/>
      <c r="Q78" s="164" t="s">
        <v>60</v>
      </c>
      <c r="R78" s="22"/>
      <c r="S78" s="29">
        <v>1979</v>
      </c>
      <c r="T78" s="133">
        <f t="shared" si="168"/>
        <v>284572.41000000003</v>
      </c>
      <c r="U78" s="133">
        <f t="shared" si="168"/>
        <v>3414868.9200000004</v>
      </c>
      <c r="V78" s="133">
        <f t="shared" si="168"/>
        <v>361566.13499999995</v>
      </c>
      <c r="W78" s="133">
        <f t="shared" si="168"/>
        <v>4338793.62</v>
      </c>
      <c r="X78" s="133">
        <f t="shared" si="168"/>
        <v>326817.20999999996</v>
      </c>
      <c r="Y78" s="133">
        <f t="shared" si="168"/>
        <v>3921806.5200000005</v>
      </c>
      <c r="AA78" s="42">
        <f t="shared" si="169"/>
        <v>76993.724999999977</v>
      </c>
      <c r="AB78" s="42">
        <f t="shared" si="169"/>
        <v>923924.6999999996</v>
      </c>
      <c r="AC78" s="42">
        <f t="shared" si="169"/>
        <v>42244.799999999974</v>
      </c>
      <c r="AD78" s="43">
        <f t="shared" si="169"/>
        <v>506937.59999999974</v>
      </c>
      <c r="AQ78" s="80"/>
      <c r="AR78" s="80"/>
      <c r="AS78" s="80"/>
    </row>
    <row r="79" spans="1:45" hidden="1" x14ac:dyDescent="0.25">
      <c r="Q79" s="164" t="s">
        <v>61</v>
      </c>
      <c r="R79" s="22"/>
      <c r="S79" s="29">
        <v>1715</v>
      </c>
      <c r="T79" s="133">
        <f t="shared" si="168"/>
        <v>302965.99</v>
      </c>
      <c r="U79" s="133">
        <f t="shared" si="168"/>
        <v>3635591.8800000004</v>
      </c>
      <c r="V79" s="133">
        <f t="shared" si="168"/>
        <v>384931.87199999997</v>
      </c>
      <c r="W79" s="133">
        <f t="shared" si="168"/>
        <v>4619182.4640000006</v>
      </c>
      <c r="X79" s="133">
        <f t="shared" si="168"/>
        <v>347937.00999999995</v>
      </c>
      <c r="Y79" s="133">
        <f t="shared" si="168"/>
        <v>4175244.1200000006</v>
      </c>
      <c r="AA79" s="42">
        <f t="shared" si="169"/>
        <v>81965.882000000012</v>
      </c>
      <c r="AB79" s="42">
        <f t="shared" si="169"/>
        <v>983590.58400000026</v>
      </c>
      <c r="AC79" s="42">
        <f t="shared" si="169"/>
        <v>44971.020000000011</v>
      </c>
      <c r="AD79" s="43">
        <f t="shared" si="169"/>
        <v>539652.24000000011</v>
      </c>
      <c r="AQ79" s="80"/>
      <c r="AR79" s="80"/>
      <c r="AS79" s="80"/>
    </row>
    <row r="80" spans="1:45" hidden="1" x14ac:dyDescent="0.25">
      <c r="Q80" s="164" t="s">
        <v>62</v>
      </c>
      <c r="R80" s="22"/>
      <c r="S80" s="29">
        <v>1992</v>
      </c>
      <c r="T80" s="133">
        <f t="shared" si="168"/>
        <v>433735.31999999989</v>
      </c>
      <c r="U80" s="133">
        <f t="shared" si="168"/>
        <v>5204823.84</v>
      </c>
      <c r="V80" s="133">
        <f t="shared" si="168"/>
        <v>551074.52250000008</v>
      </c>
      <c r="W80" s="133">
        <f t="shared" si="168"/>
        <v>6612894.2700000005</v>
      </c>
      <c r="X80" s="133">
        <f t="shared" si="168"/>
        <v>498107.22</v>
      </c>
      <c r="Y80" s="133">
        <f t="shared" si="168"/>
        <v>5977286.6399999997</v>
      </c>
      <c r="AA80" s="42">
        <f t="shared" si="169"/>
        <v>117339.20250000007</v>
      </c>
      <c r="AB80" s="42">
        <f t="shared" si="169"/>
        <v>1408070.4300000009</v>
      </c>
      <c r="AC80" s="42">
        <f t="shared" si="169"/>
        <v>64371.900000000052</v>
      </c>
      <c r="AD80" s="43">
        <f t="shared" si="169"/>
        <v>772462.80000000063</v>
      </c>
      <c r="AQ80" s="80"/>
      <c r="AR80" s="80"/>
      <c r="AS80" s="80"/>
    </row>
    <row r="81" spans="1:47" hidden="1" x14ac:dyDescent="0.25">
      <c r="B81" s="137"/>
      <c r="C81" s="137"/>
      <c r="D81" s="137"/>
      <c r="E81" s="138"/>
      <c r="G81" s="2"/>
      <c r="Q81" s="164" t="s">
        <v>63</v>
      </c>
      <c r="R81" s="22"/>
      <c r="S81" s="29">
        <v>1048</v>
      </c>
      <c r="T81" s="133">
        <f t="shared" si="168"/>
        <v>284165.13</v>
      </c>
      <c r="U81" s="133">
        <f t="shared" si="168"/>
        <v>3409981.5599999996</v>
      </c>
      <c r="V81" s="133">
        <f t="shared" si="168"/>
        <v>361047.75300000003</v>
      </c>
      <c r="W81" s="133">
        <f t="shared" si="168"/>
        <v>4332573.0360000003</v>
      </c>
      <c r="X81" s="133">
        <f t="shared" si="168"/>
        <v>326342.92</v>
      </c>
      <c r="Y81" s="133">
        <f t="shared" si="168"/>
        <v>3916115.04</v>
      </c>
      <c r="AA81" s="42">
        <f t="shared" si="169"/>
        <v>76882.622999999992</v>
      </c>
      <c r="AB81" s="42">
        <f t="shared" si="169"/>
        <v>922591.47599999991</v>
      </c>
      <c r="AC81" s="42">
        <f t="shared" si="169"/>
        <v>42177.790000000008</v>
      </c>
      <c r="AD81" s="43">
        <f t="shared" si="169"/>
        <v>506133.48000000004</v>
      </c>
      <c r="AQ81" s="80"/>
      <c r="AR81" s="80"/>
      <c r="AS81" s="80"/>
    </row>
    <row r="82" spans="1:47" hidden="1" x14ac:dyDescent="0.25">
      <c r="G82" s="2"/>
      <c r="Q82" s="164" t="s">
        <v>64</v>
      </c>
      <c r="R82" s="22"/>
      <c r="S82" s="29">
        <v>1563</v>
      </c>
      <c r="T82" s="133">
        <f t="shared" si="168"/>
        <v>494431.8</v>
      </c>
      <c r="U82" s="133">
        <f t="shared" si="168"/>
        <v>5933181.5999999996</v>
      </c>
      <c r="V82" s="133">
        <f t="shared" si="168"/>
        <v>628196.87700000009</v>
      </c>
      <c r="W82" s="133">
        <f t="shared" si="168"/>
        <v>7538362.5239999993</v>
      </c>
      <c r="X82" s="133">
        <f t="shared" si="168"/>
        <v>567818.73</v>
      </c>
      <c r="Y82" s="133">
        <f t="shared" si="168"/>
        <v>6813824.7599999998</v>
      </c>
      <c r="AA82" s="42">
        <f t="shared" si="169"/>
        <v>133765.07700000005</v>
      </c>
      <c r="AB82" s="42">
        <f t="shared" si="169"/>
        <v>1605180.9240000006</v>
      </c>
      <c r="AC82" s="42">
        <f t="shared" si="169"/>
        <v>73386.929999999993</v>
      </c>
      <c r="AD82" s="43">
        <f t="shared" si="169"/>
        <v>880643.15999999992</v>
      </c>
      <c r="AQ82" s="80"/>
      <c r="AR82" s="80"/>
      <c r="AS82" s="80"/>
    </row>
    <row r="83" spans="1:47" hidden="1" x14ac:dyDescent="0.25">
      <c r="G83" s="2"/>
      <c r="S83" s="139">
        <v>12600</v>
      </c>
      <c r="T83" s="140">
        <f t="shared" ref="T83:Y83" si="170">SUM(T74:T82)</f>
        <v>2085049.9400000002</v>
      </c>
      <c r="U83" s="140">
        <f t="shared" si="170"/>
        <v>25020599.280000001</v>
      </c>
      <c r="V83" s="140">
        <f t="shared" si="170"/>
        <v>2649151.9455000004</v>
      </c>
      <c r="W83" s="140">
        <f t="shared" si="170"/>
        <v>31789823.346000005</v>
      </c>
      <c r="X83" s="140">
        <f t="shared" si="170"/>
        <v>2394508.58</v>
      </c>
      <c r="Y83" s="140">
        <f t="shared" si="170"/>
        <v>28734102.960000001</v>
      </c>
      <c r="AA83" s="71">
        <f t="shared" ref="AA83:AB83" si="171">SUM(AA74:AA82)</f>
        <v>564102.0055000002</v>
      </c>
      <c r="AB83" s="71">
        <f t="shared" si="171"/>
        <v>6769224.0660000015</v>
      </c>
      <c r="AC83" s="71">
        <f>SUM(AC74:AC82)</f>
        <v>309458.64</v>
      </c>
      <c r="AD83" s="71">
        <f>SUM(AD74:AD82)</f>
        <v>3713503.6800000006</v>
      </c>
      <c r="AQ83" s="80"/>
      <c r="AR83" s="80"/>
      <c r="AS83" s="80"/>
    </row>
    <row r="84" spans="1:47" ht="16.5" hidden="1" thickBot="1" x14ac:dyDescent="0.3">
      <c r="G84" s="2"/>
      <c r="S84" s="141" t="s">
        <v>65</v>
      </c>
      <c r="T84" s="142">
        <f t="shared" ref="T84:Y84" si="172">T83*0.9</f>
        <v>1876544.9460000002</v>
      </c>
      <c r="U84" s="142">
        <f t="shared" si="172"/>
        <v>22518539.352000002</v>
      </c>
      <c r="V84" s="142">
        <f t="shared" si="172"/>
        <v>2384236.7509500002</v>
      </c>
      <c r="W84" s="142">
        <f t="shared" si="172"/>
        <v>28610841.011400003</v>
      </c>
      <c r="X84" s="142">
        <f t="shared" si="172"/>
        <v>2155057.7220000001</v>
      </c>
      <c r="Y84" s="142">
        <f t="shared" si="172"/>
        <v>25860692.664000001</v>
      </c>
      <c r="AA84" s="71">
        <f t="shared" ref="AA84:AD84" si="173">+AA83*0.9</f>
        <v>507691.80495000019</v>
      </c>
      <c r="AB84" s="76">
        <f t="shared" si="173"/>
        <v>6092301.6594000012</v>
      </c>
      <c r="AC84" s="143">
        <f t="shared" si="173"/>
        <v>278512.77600000001</v>
      </c>
      <c r="AD84" s="144">
        <f t="shared" si="173"/>
        <v>3342153.3120000008</v>
      </c>
      <c r="AQ84" s="80"/>
      <c r="AR84" s="80"/>
      <c r="AS84" s="80"/>
    </row>
    <row r="85" spans="1:47" ht="106.5" hidden="1" customHeight="1" x14ac:dyDescent="0.25">
      <c r="S85" s="145"/>
      <c r="U85" s="146">
        <f>+U84/U84*100</f>
        <v>100</v>
      </c>
      <c r="V85" s="2"/>
      <c r="W85" s="146">
        <f>+W84/U84*100</f>
        <v>127.05460404943587</v>
      </c>
      <c r="Y85" s="147">
        <f>+Y84/U84*100</f>
        <v>114.84178551617809</v>
      </c>
      <c r="AB85" s="148" t="s">
        <v>85</v>
      </c>
      <c r="AD85" s="149" t="s">
        <v>86</v>
      </c>
      <c r="AQ85" s="80"/>
      <c r="AR85" s="80"/>
      <c r="AS85" s="80"/>
    </row>
    <row r="86" spans="1:47" ht="106.5" hidden="1" customHeight="1" x14ac:dyDescent="0.25">
      <c r="S86" s="145"/>
      <c r="U86" s="2"/>
      <c r="V86" s="2"/>
      <c r="W86" s="2"/>
      <c r="AB86" s="148"/>
      <c r="AD86" s="150"/>
      <c r="AQ86" s="80"/>
      <c r="AR86" s="80"/>
      <c r="AS86" s="80"/>
    </row>
    <row r="87" spans="1:47" ht="106.5" hidden="1" customHeight="1" x14ac:dyDescent="0.3">
      <c r="A87" s="4"/>
      <c r="B87" s="4"/>
      <c r="C87" s="4"/>
      <c r="D87" s="4"/>
      <c r="E87" s="5"/>
      <c r="F87" s="4"/>
      <c r="H87" s="4"/>
      <c r="I87" s="4"/>
      <c r="J87" s="4"/>
      <c r="Q87" s="168" t="s">
        <v>87</v>
      </c>
      <c r="R87" s="169"/>
      <c r="S87" s="169"/>
      <c r="T87" s="169"/>
      <c r="U87" s="169"/>
      <c r="V87" s="169"/>
      <c r="W87" s="169"/>
      <c r="X87" s="169"/>
      <c r="Y87" s="169"/>
      <c r="Z87" s="169"/>
      <c r="AA87" s="170"/>
      <c r="AB87" s="151">
        <f>W84-U84</f>
        <v>6092301.6594000012</v>
      </c>
      <c r="AD87" s="152">
        <f>Y84-U84</f>
        <v>3342153.311999999</v>
      </c>
      <c r="AQ87" s="80"/>
      <c r="AR87" s="80"/>
      <c r="AS87" s="80"/>
    </row>
    <row r="88" spans="1:47" s="4" customFormat="1" ht="106.5" hidden="1" customHeight="1" x14ac:dyDescent="0.25">
      <c r="A88" s="2"/>
      <c r="B88" s="2"/>
      <c r="C88" s="2"/>
      <c r="D88" s="2"/>
      <c r="E88" s="3"/>
      <c r="F88" s="2"/>
      <c r="H88" s="2"/>
      <c r="I88" s="2"/>
      <c r="J88" s="2"/>
      <c r="K88" s="2"/>
      <c r="L88" s="2"/>
      <c r="N88" s="5"/>
      <c r="P88" s="155"/>
      <c r="Q88" s="162"/>
      <c r="R88" s="2"/>
      <c r="S88" s="2"/>
      <c r="T88" s="2"/>
      <c r="X88" s="2"/>
      <c r="Y88" s="2"/>
      <c r="Z88" s="2"/>
      <c r="AA88" s="2"/>
      <c r="AB88" s="2"/>
      <c r="AC88" s="153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8.75" hidden="1" x14ac:dyDescent="0.3">
      <c r="AC89" s="154"/>
    </row>
    <row r="90" spans="1:47" hidden="1" x14ac:dyDescent="0.25">
      <c r="AC90" s="28"/>
    </row>
    <row r="91" spans="1:47" ht="106.5" hidden="1" customHeight="1" x14ac:dyDescent="0.25">
      <c r="A91" s="4"/>
    </row>
    <row r="92" spans="1:47" s="4" customFormat="1" ht="106.5" hidden="1" customHeight="1" x14ac:dyDescent="0.25">
      <c r="A92" s="2"/>
      <c r="B92" s="2"/>
      <c r="C92" s="2"/>
      <c r="D92" s="2"/>
      <c r="E92" s="3"/>
      <c r="F92" s="2"/>
      <c r="H92" s="2"/>
      <c r="I92" s="2"/>
      <c r="J92" s="2"/>
      <c r="K92" s="2"/>
      <c r="L92" s="2"/>
      <c r="N92" s="5"/>
      <c r="P92" s="155"/>
      <c r="Q92" s="162"/>
      <c r="R92" s="2"/>
      <c r="S92" s="2"/>
      <c r="T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idden="1" x14ac:dyDescent="0.25"/>
    <row r="94" spans="1:47" hidden="1" x14ac:dyDescent="0.25"/>
    <row r="95" spans="1:47" hidden="1" x14ac:dyDescent="0.25"/>
    <row r="96" spans="1:47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</sheetData>
  <mergeCells count="71">
    <mergeCell ref="AM3:AN3"/>
    <mergeCell ref="A3:C3"/>
    <mergeCell ref="D3:G3"/>
    <mergeCell ref="H3:L3"/>
    <mergeCell ref="M3:Q3"/>
    <mergeCell ref="T3:U3"/>
    <mergeCell ref="V3:W3"/>
    <mergeCell ref="AO19:AP19"/>
    <mergeCell ref="AO3:AP3"/>
    <mergeCell ref="AQ3:AQ4"/>
    <mergeCell ref="AM6:AS6"/>
    <mergeCell ref="A19:C19"/>
    <mergeCell ref="D19:G19"/>
    <mergeCell ref="H19:L19"/>
    <mergeCell ref="M19:Q19"/>
    <mergeCell ref="T19:U19"/>
    <mergeCell ref="V19:W19"/>
    <mergeCell ref="X19:Y19"/>
    <mergeCell ref="X3:Y3"/>
    <mergeCell ref="AA3:AB3"/>
    <mergeCell ref="AC3:AD3"/>
    <mergeCell ref="AF3:AH3"/>
    <mergeCell ref="AI3:AK3"/>
    <mergeCell ref="AQ35:AQ36"/>
    <mergeCell ref="AQ19:AQ20"/>
    <mergeCell ref="AM22:AS22"/>
    <mergeCell ref="A35:C35"/>
    <mergeCell ref="D35:G35"/>
    <mergeCell ref="H35:L35"/>
    <mergeCell ref="M35:Q35"/>
    <mergeCell ref="T35:U35"/>
    <mergeCell ref="V35:W35"/>
    <mergeCell ref="X35:Y35"/>
    <mergeCell ref="AA35:AB35"/>
    <mergeCell ref="AA19:AB19"/>
    <mergeCell ref="AC19:AD19"/>
    <mergeCell ref="AF19:AH19"/>
    <mergeCell ref="AI19:AK19"/>
    <mergeCell ref="AM19:AN19"/>
    <mergeCell ref="AC35:AD35"/>
    <mergeCell ref="AF35:AH35"/>
    <mergeCell ref="AI35:AK35"/>
    <mergeCell ref="AM35:AN35"/>
    <mergeCell ref="AO35:AP35"/>
    <mergeCell ref="AM54:AS54"/>
    <mergeCell ref="AM38:AS38"/>
    <mergeCell ref="A51:C51"/>
    <mergeCell ref="D51:G51"/>
    <mergeCell ref="H51:L51"/>
    <mergeCell ref="M51:Q51"/>
    <mergeCell ref="T51:U51"/>
    <mergeCell ref="V51:W51"/>
    <mergeCell ref="X51:Y51"/>
    <mergeCell ref="AA51:AB51"/>
    <mergeCell ref="AC51:AD51"/>
    <mergeCell ref="AF51:AH51"/>
    <mergeCell ref="AI51:AK51"/>
    <mergeCell ref="AM51:AN51"/>
    <mergeCell ref="AO51:AP51"/>
    <mergeCell ref="AQ51:AQ52"/>
    <mergeCell ref="A76:J76"/>
    <mergeCell ref="Q87:AA87"/>
    <mergeCell ref="AM67:AS67"/>
    <mergeCell ref="Q69:Y69"/>
    <mergeCell ref="AA69:AD69"/>
    <mergeCell ref="A71:J71"/>
    <mergeCell ref="T71:U71"/>
    <mergeCell ref="V71:W71"/>
    <mergeCell ref="X71:Y71"/>
    <mergeCell ref="AA71:AB71"/>
    <mergeCell ref="AC71:AD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Tajda Pantar</dc:creator>
  <cp:lastModifiedBy>Nina Šibič</cp:lastModifiedBy>
  <dcterms:created xsi:type="dcterms:W3CDTF">2023-08-28T13:15:59Z</dcterms:created>
  <dcterms:modified xsi:type="dcterms:W3CDTF">2023-10-06T12:19:08Z</dcterms:modified>
</cp:coreProperties>
</file>