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0.2.1_Rekonstrukcija ceste\"/>
    </mc:Choice>
  </mc:AlternateContent>
  <bookViews>
    <workbookView xWindow="13695" yWindow="-15" windowWidth="14310" windowHeight="12405" tabRatio="878" activeTab="3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PREDDELA'!$B$61</definedName>
    <definedName name="_1.4_Predhodna_dela">'1. PREDDELA'!#REF!</definedName>
    <definedName name="_1.5_Geotehnika_predorov">'1. PREDDELA'!#REF!</definedName>
    <definedName name="_1_preddela_1" localSheetId="1">'1. PREDDELA'!$B$2:$F$67</definedName>
    <definedName name="_1_preddela_1" localSheetId="2">'2. ZEMELJSKA DELA'!$B$2:$F$42</definedName>
    <definedName name="_1_preddela_1" localSheetId="3">'3. VOZIŠČNE KONSTRUKCIJE'!$B$2:$F$67</definedName>
    <definedName name="_1_preddela_1" localSheetId="4">'4. ODVODNJAVANJE'!$B$2:$F$37</definedName>
    <definedName name="_1_preddela_1" localSheetId="5">'5. GRADBENA IN OBRTNIŠKA DELA'!$B$2:$F$15</definedName>
    <definedName name="_1_preddela_1" localSheetId="6">'6. OPREMA CEST'!$B$2:$F$53</definedName>
    <definedName name="_1_preddela_1" localSheetId="7">'7. TUJE STORITVE'!$B$2:$F$31</definedName>
    <definedName name="_2.1_Izkopi">'2. ZEMELJSKA DELA'!$B$6</definedName>
    <definedName name="_2.2_Planum_tal">'2. ZEMELJSKA DELA'!$B$13</definedName>
    <definedName name="_2.3_ločilne_drenažne_filterske_plasti">'2. ZEMELJSKA DELA'!$B$19</definedName>
    <definedName name="_2.4_Nasipi_zasipi_posteljica">'2. ZEMELJSKA DELA'!$B$23</definedName>
    <definedName name="_2.5_Brežine_zelenice">'2. ZEMELJSKA DELA'!$B$29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DELA'!$B$34</definedName>
    <definedName name="_3.1_Nosilne_plasti">'3. VOZIŠČNE KONSTRUKCIJE'!$B$6</definedName>
    <definedName name="_3.2_Obrabne_plasti">'3. VOZIŠČNE KONSTRUKCIJE'!$B$18</definedName>
    <definedName name="_3.3_Vezane_nosilne_in_obrabne_plasti">'3. VOZIŠČNE KONSTRUKCIJE'!#REF!</definedName>
    <definedName name="_3.4_Tlakovane_obrabne_plasti">'3. VOZIŠČNE KONSTRUKCIJE'!$B$43</definedName>
    <definedName name="_3.5_Robni_elementi_vozišč">'3. VOZIŠČNE KONSTRUKCIJE'!$B$51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ODVODNJAVANJE'!$B$23</definedName>
    <definedName name="_4.5_Prepusti">'4. ODVODNJAVANJE'!$B$33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DELA'!$B$10</definedName>
    <definedName name="_5.9_Zaščitna_dela">'5. GRADBENA IN OBRTNIŠKA DELA'!#REF!</definedName>
    <definedName name="_6.1_Pokončna_oprema_cest">'6. OPREMA CEST'!$B$6</definedName>
    <definedName name="_6.2_Označbe_na_voziščihž">'6. OPREMA CEST'!$B$16</definedName>
    <definedName name="_6.3_Oprema_za_vodenje_prometa">'6. OPREMA CEST'!$B$36</definedName>
    <definedName name="_6.4_Oprema_za_zavarovanje_prometa">'6. OPREMA CEST'!$B$40</definedName>
    <definedName name="_6.5_Oprema_za_zimsko_službo">'6. OPREMA CEST'!#REF!</definedName>
    <definedName name="_6.6_Druga_prometna_oprema_cest">'6. OPREMA CEST'!$B$47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STORITVE'!$B$14</definedName>
    <definedName name="_7.6_vodovod">'7. TUJE STORITVE'!$B$18</definedName>
    <definedName name="_7.7_Plinovod">'7. TUJE STORITVE'!#REF!</definedName>
    <definedName name="_7.8_Železnica">'7. TUJE STORITVE'!#REF!</definedName>
    <definedName name="_7.9_Preizkusi_nadzor_dokumentacija">'7. TUJE STORITVE'!$B$23</definedName>
    <definedName name="_xlnm._FilterDatabase" localSheetId="1" hidden="1">'1. PREDDELA'!$E$1:$G$67</definedName>
    <definedName name="_xlnm._FilterDatabase" localSheetId="2" hidden="1">'2. ZEMELJSKA DELA'!$E$1:$G$42</definedName>
    <definedName name="_xlnm._FilterDatabase" localSheetId="3" hidden="1">'3. VOZIŠČNE KONSTRUKCIJE'!$E$1:$G$67</definedName>
    <definedName name="_xlnm._FilterDatabase" localSheetId="4" hidden="1">'4. ODVODNJAVANJE'!$E$1:$G$37</definedName>
    <definedName name="_xlnm._FilterDatabase" localSheetId="5" hidden="1">'5. GRADBENA IN OBRTNIŠKA DELA'!$E$1:$G$15</definedName>
    <definedName name="_xlnm._FilterDatabase" localSheetId="6" hidden="1">'6. OPREMA CEST'!$E$1:$G$53</definedName>
    <definedName name="_xlnm._FilterDatabase" localSheetId="7" hidden="1">'7. TUJE STORITVE'!$E$1:$G$31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PREDDELA'!$B$61</definedName>
    <definedName name="_xlnm.Print_Area" localSheetId="5">'5. GRADBENA IN OBRTNIŠKA DELA'!$A$1:$G$15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CEST'!$B$40</definedName>
  </definedNames>
  <calcPr calcId="152511"/>
</workbook>
</file>

<file path=xl/calcChain.xml><?xml version="1.0" encoding="utf-8"?>
<calcChain xmlns="http://schemas.openxmlformats.org/spreadsheetml/2006/main">
  <c r="G32" i="8" l="1"/>
  <c r="E47" i="5"/>
  <c r="E48" i="5"/>
  <c r="E40" i="4" l="1"/>
  <c r="E38" i="4"/>
  <c r="E25" i="4"/>
  <c r="E11" i="4"/>
  <c r="E10" i="4"/>
  <c r="E19" i="6"/>
  <c r="E18" i="6"/>
  <c r="E26" i="5"/>
  <c r="E11" i="5"/>
  <c r="E33" i="8" l="1"/>
  <c r="E20" i="8"/>
  <c r="E31" i="8"/>
  <c r="E30" i="8"/>
  <c r="E24" i="8"/>
  <c r="E29" i="8"/>
  <c r="E23" i="8"/>
  <c r="E34" i="8" s="1"/>
  <c r="G34" i="8" l="1"/>
  <c r="G33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E26" i="4" l="1"/>
  <c r="E21" i="4"/>
  <c r="E17" i="4"/>
  <c r="E16" i="4"/>
  <c r="E8" i="4"/>
  <c r="E37" i="5"/>
  <c r="E10" i="5"/>
  <c r="E9" i="5"/>
  <c r="E9" i="4"/>
  <c r="E21" i="5"/>
  <c r="E27" i="4" l="1"/>
  <c r="E65" i="5"/>
  <c r="E51" i="8" l="1"/>
  <c r="E50" i="8"/>
  <c r="E13" i="8" l="1"/>
  <c r="E25" i="6"/>
  <c r="E13" i="6"/>
  <c r="E15" i="6"/>
  <c r="E9" i="6"/>
  <c r="E20" i="9"/>
  <c r="E16" i="9"/>
  <c r="E8" i="9"/>
  <c r="E12" i="9"/>
  <c r="E41" i="5"/>
  <c r="E58" i="2" l="1"/>
  <c r="E41" i="2"/>
  <c r="E53" i="2"/>
  <c r="E52" i="2"/>
  <c r="E51" i="2"/>
  <c r="E32" i="2"/>
  <c r="E50" i="2"/>
  <c r="E48" i="2"/>
  <c r="E49" i="2"/>
  <c r="E44" i="2"/>
  <c r="E43" i="2"/>
  <c r="E39" i="2"/>
  <c r="E34" i="2"/>
  <c r="E33" i="2"/>
  <c r="E19" i="2" l="1"/>
  <c r="G28" i="9" l="1"/>
  <c r="G27" i="9"/>
  <c r="G29" i="9" l="1"/>
  <c r="G47" i="5" l="1"/>
  <c r="G28" i="6" l="1"/>
  <c r="E46" i="8" l="1"/>
  <c r="E47" i="8"/>
  <c r="E48" i="8"/>
  <c r="G50" i="8" l="1"/>
  <c r="G49" i="8"/>
  <c r="G51" i="8"/>
  <c r="G21" i="6" l="1"/>
  <c r="E23" i="2"/>
  <c r="E22" i="2"/>
  <c r="G24" i="2" l="1"/>
  <c r="E15" i="9" l="1"/>
  <c r="E13" i="9"/>
  <c r="E33" i="5" l="1"/>
  <c r="E47" i="2" l="1"/>
  <c r="E45" i="2"/>
  <c r="E44" i="5"/>
  <c r="E43" i="5"/>
  <c r="E42" i="5"/>
  <c r="G8" i="7" l="1"/>
  <c r="E46" i="2" l="1"/>
  <c r="E37" i="4" s="1"/>
  <c r="E31" i="5" l="1"/>
  <c r="E39" i="4"/>
  <c r="G20" i="6" l="1"/>
  <c r="E32" i="5"/>
  <c r="E7" i="9" l="1"/>
  <c r="E5" i="9"/>
  <c r="E32" i="4"/>
  <c r="E16" i="6" l="1"/>
  <c r="G34" i="2" l="1"/>
  <c r="E11" i="9" l="1"/>
  <c r="E10" i="9"/>
  <c r="E9" i="9" l="1"/>
  <c r="G27" i="5"/>
  <c r="E36" i="4" l="1"/>
  <c r="E14" i="9" l="1"/>
  <c r="E40" i="8" l="1"/>
  <c r="G42" i="8"/>
  <c r="E9" i="2"/>
  <c r="G16" i="9" l="1"/>
  <c r="G35" i="6" l="1"/>
  <c r="G17" i="4" l="1"/>
  <c r="G49" i="5" l="1"/>
  <c r="G31" i="6" l="1"/>
  <c r="G65" i="2" l="1"/>
  <c r="G25" i="9" l="1"/>
  <c r="G26" i="9"/>
  <c r="G21" i="9"/>
  <c r="G20" i="9"/>
  <c r="G12" i="9"/>
  <c r="G8" i="9"/>
  <c r="G43" i="8"/>
  <c r="G44" i="8"/>
  <c r="G45" i="8"/>
  <c r="G38" i="8"/>
  <c r="G8" i="8"/>
  <c r="G9" i="8"/>
  <c r="G10" i="8"/>
  <c r="G11" i="8"/>
  <c r="G12" i="8"/>
  <c r="G13" i="8"/>
  <c r="G14" i="8"/>
  <c r="G12" i="7"/>
  <c r="G13" i="7"/>
  <c r="G36" i="4"/>
  <c r="G37" i="4"/>
  <c r="G38" i="4"/>
  <c r="G39" i="4"/>
  <c r="G40" i="4"/>
  <c r="G25" i="6"/>
  <c r="G26" i="6"/>
  <c r="G27" i="6"/>
  <c r="G29" i="6"/>
  <c r="G30" i="6"/>
  <c r="G13" i="6"/>
  <c r="G14" i="6"/>
  <c r="G15" i="6"/>
  <c r="G16" i="6"/>
  <c r="G17" i="6"/>
  <c r="G18" i="6"/>
  <c r="G19" i="6"/>
  <c r="G8" i="6"/>
  <c r="G9" i="6"/>
  <c r="G65" i="5"/>
  <c r="G61" i="5"/>
  <c r="G55" i="5"/>
  <c r="G56" i="5"/>
  <c r="G57" i="5"/>
  <c r="G45" i="5"/>
  <c r="G46" i="5"/>
  <c r="G48" i="5"/>
  <c r="G41" i="5"/>
  <c r="G37" i="5"/>
  <c r="G31" i="5"/>
  <c r="G32" i="5"/>
  <c r="G33" i="5"/>
  <c r="G25" i="5"/>
  <c r="G26" i="5"/>
  <c r="G21" i="5"/>
  <c r="G15" i="5"/>
  <c r="G16" i="5"/>
  <c r="G9" i="5"/>
  <c r="G10" i="5"/>
  <c r="G11" i="5"/>
  <c r="G31" i="4"/>
  <c r="G32" i="4"/>
  <c r="G25" i="4"/>
  <c r="G26" i="4"/>
  <c r="G27" i="4"/>
  <c r="G21" i="4"/>
  <c r="G16" i="4"/>
  <c r="G15" i="4"/>
  <c r="G8" i="4"/>
  <c r="G9" i="4"/>
  <c r="G10" i="4"/>
  <c r="G11" i="4"/>
  <c r="G64" i="2"/>
  <c r="G58" i="2"/>
  <c r="G5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39" i="2"/>
  <c r="G30" i="2"/>
  <c r="G31" i="2"/>
  <c r="G32" i="2"/>
  <c r="G33" i="2"/>
  <c r="G35" i="2"/>
  <c r="G29" i="2"/>
  <c r="G17" i="2"/>
  <c r="G18" i="2"/>
  <c r="G19" i="2"/>
  <c r="G20" i="2"/>
  <c r="G21" i="2"/>
  <c r="G22" i="2"/>
  <c r="G23" i="2"/>
  <c r="G25" i="2"/>
  <c r="G16" i="2"/>
  <c r="G8" i="2"/>
  <c r="G9" i="2"/>
  <c r="G10" i="2"/>
  <c r="G11" i="2"/>
  <c r="E24" i="9"/>
  <c r="E23" i="9"/>
  <c r="E22" i="9"/>
  <c r="E19" i="9"/>
  <c r="E18" i="9"/>
  <c r="E6" i="9"/>
  <c r="E41" i="8"/>
  <c r="E39" i="8"/>
  <c r="E37" i="8"/>
  <c r="E36" i="8"/>
  <c r="E35" i="8"/>
  <c r="E17" i="8"/>
  <c r="E16" i="8"/>
  <c r="E15" i="8"/>
  <c r="E7" i="8"/>
  <c r="E6" i="8"/>
  <c r="E5" i="8"/>
  <c r="E11" i="7"/>
  <c r="E10" i="7"/>
  <c r="E9" i="7"/>
  <c r="E7" i="7"/>
  <c r="E6" i="7"/>
  <c r="E5" i="7"/>
  <c r="E34" i="6"/>
  <c r="E33" i="6"/>
  <c r="E32" i="6"/>
  <c r="E23" i="6"/>
  <c r="E7" i="6"/>
  <c r="E6" i="6"/>
  <c r="E5" i="6"/>
  <c r="E64" i="5"/>
  <c r="E63" i="5"/>
  <c r="E62" i="5"/>
  <c r="E60" i="5"/>
  <c r="E59" i="5"/>
  <c r="E58" i="5"/>
  <c r="E54" i="5"/>
  <c r="E53" i="5"/>
  <c r="E52" i="5"/>
  <c r="E40" i="5"/>
  <c r="E39" i="5"/>
  <c r="E38" i="5"/>
  <c r="E36" i="5"/>
  <c r="E35" i="5"/>
  <c r="E34" i="5"/>
  <c r="E30" i="5"/>
  <c r="E29" i="5"/>
  <c r="E28" i="5"/>
  <c r="E20" i="5"/>
  <c r="E19" i="5"/>
  <c r="E14" i="5"/>
  <c r="E13" i="5"/>
  <c r="E30" i="4"/>
  <c r="E29" i="4"/>
  <c r="E28" i="4"/>
  <c r="E20" i="4"/>
  <c r="E19" i="4"/>
  <c r="E18" i="4"/>
  <c r="E63" i="2"/>
  <c r="E62" i="2"/>
  <c r="E57" i="2"/>
  <c r="E55" i="2"/>
  <c r="E56" i="2"/>
  <c r="E38" i="2"/>
  <c r="E37" i="2"/>
  <c r="E36" i="2"/>
  <c r="E26" i="2"/>
  <c r="E27" i="2"/>
  <c r="E28" i="2"/>
  <c r="E15" i="2"/>
  <c r="E14" i="2"/>
  <c r="E7" i="2"/>
  <c r="E6" i="2"/>
  <c r="E5" i="2"/>
  <c r="E17" i="9" l="1"/>
  <c r="E12" i="2"/>
  <c r="E13" i="2"/>
  <c r="F37" i="6" l="1"/>
  <c r="F53" i="8"/>
  <c r="H24" i="1" s="1"/>
  <c r="F42" i="4"/>
  <c r="H16" i="1" s="1"/>
  <c r="F15" i="7" l="1"/>
  <c r="H22" i="1" s="1"/>
  <c r="F67" i="5"/>
  <c r="H18" i="1" s="1"/>
  <c r="F67" i="2"/>
  <c r="H14" i="1" s="1"/>
  <c r="H20" i="1"/>
  <c r="F31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<sst xmlns="http://schemas.openxmlformats.org/spreadsheetml/2006/main" count="567" uniqueCount="391">
  <si>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</si>
  <si>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</si>
  <si>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</si>
  <si>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</si>
  <si>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</si>
  <si>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</si>
  <si>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</si>
  <si>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</si>
  <si>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</si>
  <si>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</si>
  <si>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12 112</t>
  </si>
  <si>
    <t>12 121</t>
  </si>
  <si>
    <t>12 122</t>
  </si>
  <si>
    <t>12 151</t>
  </si>
  <si>
    <t>12 152</t>
  </si>
  <si>
    <t>12 163</t>
  </si>
  <si>
    <t>12 166</t>
  </si>
  <si>
    <t>12 181</t>
  </si>
  <si>
    <t>12 211</t>
  </si>
  <si>
    <t>12 221</t>
  </si>
  <si>
    <t>12 231</t>
  </si>
  <si>
    <t>m1</t>
  </si>
  <si>
    <t>12 293</t>
  </si>
  <si>
    <t>12 294</t>
  </si>
  <si>
    <t>m3</t>
  </si>
  <si>
    <t>12 297</t>
  </si>
  <si>
    <t>12 311</t>
  </si>
  <si>
    <t>12 321</t>
  </si>
  <si>
    <t>12 322</t>
  </si>
  <si>
    <t>12 323</t>
  </si>
  <si>
    <t>12 331</t>
  </si>
  <si>
    <t>12 351</t>
  </si>
  <si>
    <t>12 371</t>
  </si>
  <si>
    <t>12 372</t>
  </si>
  <si>
    <t>12 373</t>
  </si>
  <si>
    <t>12 381</t>
  </si>
  <si>
    <t>12 382</t>
  </si>
  <si>
    <t>12 383</t>
  </si>
  <si>
    <t>12 391</t>
  </si>
  <si>
    <t>12 392</t>
  </si>
  <si>
    <t>12 393</t>
  </si>
  <si>
    <t>12 396</t>
  </si>
  <si>
    <t>12 426</t>
  </si>
  <si>
    <t>12 431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</si>
  <si>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</si>
  <si>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</si>
  <si>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</si>
  <si>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</si>
  <si>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</si>
  <si>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</si>
  <si>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</si>
  <si>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</si>
  <si>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</si>
  <si>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</si>
  <si>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</si>
  <si>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</si>
  <si>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</si>
  <si>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</si>
  <si>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</si>
  <si>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</si>
  <si>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</si>
  <si>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</si>
  <si>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</si>
  <si>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</si>
  <si>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</si>
  <si>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</si>
  <si>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redko porasli površini (do 50 % pokritega tlorisa) - strojno
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</si>
  <si>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</si>
  <si>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</si>
  <si>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</si>
  <si>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</si>
  <si>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Odstranitev panja s premerom 31 do 50 cm z odvozom na deponijo na razdaljo nad 1000 m
</t>
  </si>
  <si>
    <t xml:space="preserve">Porušitev in odstranitev makadamskega vozišča v debelini do 20 cm
</t>
  </si>
  <si>
    <t xml:space="preserve">Porušitev in odstranitev nevezanega tlaka iz lomljenca, tlakovcev, plošč, debeline do 12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</si>
  <si>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</si>
  <si>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</si>
  <si>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</si>
  <si>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</si>
  <si>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</si>
  <si>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</si>
  <si>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</si>
  <si>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</si>
  <si>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22 111</t>
  </si>
  <si>
    <t>22 112</t>
  </si>
  <si>
    <t>23 313</t>
  </si>
  <si>
    <t>24 112</t>
  </si>
  <si>
    <t>24 421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</si>
  <si>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</si>
  <si>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</si>
  <si>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</si>
  <si>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</si>
  <si>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</si>
  <si>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</si>
  <si>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</si>
  <si>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</si>
  <si>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</si>
  <si>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</si>
  <si>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</si>
  <si>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</si>
  <si>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</si>
  <si>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</si>
  <si>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</si>
  <si>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</si>
  <si>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</si>
  <si>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</si>
  <si>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</si>
  <si>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</si>
  <si>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</si>
  <si>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</si>
  <si>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</si>
  <si>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</si>
  <si>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42 134</t>
  </si>
  <si>
    <t>42 311</t>
  </si>
  <si>
    <t>4.3  Globinsko odvodnjavanje - kanalizacija</t>
  </si>
  <si>
    <t>43 231</t>
  </si>
  <si>
    <t>43 232</t>
  </si>
  <si>
    <t>43 271</t>
  </si>
  <si>
    <t>43 272</t>
  </si>
  <si>
    <t>43 511</t>
  </si>
  <si>
    <t>43 831</t>
  </si>
  <si>
    <t>43 841</t>
  </si>
  <si>
    <t>4.4  Jaški</t>
  </si>
  <si>
    <t>44 333</t>
  </si>
  <si>
    <t>44 966</t>
  </si>
  <si>
    <t>44 973</t>
  </si>
  <si>
    <t>44 977</t>
  </si>
  <si>
    <t>44 992</t>
  </si>
  <si>
    <t>4.5  Prepusti</t>
  </si>
  <si>
    <t xml:space="preserve">m1 </t>
  </si>
  <si>
    <t>45 211</t>
  </si>
  <si>
    <t xml:space="preserve">Zasip cevne drenaže z zmesjo kamnitih zrn, obvito z geosintetikom, z 0,1 do 0,2 m3/m1, po načrtu
</t>
  </si>
  <si>
    <t>5.   GRADBENA IN OBRTNIŠKA DELA</t>
  </si>
  <si>
    <t>5.5  Dela pri popravilu objektov</t>
  </si>
  <si>
    <t>5.8  Ključavničarska dela in dela v jeklu</t>
  </si>
  <si>
    <t>58 211</t>
  </si>
  <si>
    <t>58 631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</si>
  <si>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</si>
  <si>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</si>
  <si>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</si>
  <si>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</si>
  <si>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</si>
  <si>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</si>
  <si>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</si>
  <si>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</si>
  <si>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61 217</t>
  </si>
  <si>
    <t>61 218</t>
  </si>
  <si>
    <t>61 612</t>
  </si>
  <si>
    <t>61 622</t>
  </si>
  <si>
    <t>61 713</t>
  </si>
  <si>
    <t>6.2  Označbe na voziščih</t>
  </si>
  <si>
    <t>62 111</t>
  </si>
  <si>
    <t>62 112</t>
  </si>
  <si>
    <t>62 252</t>
  </si>
  <si>
    <t>62 412</t>
  </si>
  <si>
    <t>62 414</t>
  </si>
  <si>
    <t>62 416</t>
  </si>
  <si>
    <t>62 417</t>
  </si>
  <si>
    <t>62 418</t>
  </si>
  <si>
    <t>62 425</t>
  </si>
  <si>
    <t>62 426</t>
  </si>
  <si>
    <t>62 427</t>
  </si>
  <si>
    <t>62 428</t>
  </si>
  <si>
    <t>62 446</t>
  </si>
  <si>
    <t>62 448</t>
  </si>
  <si>
    <t>62 623</t>
  </si>
  <si>
    <t>62 625</t>
  </si>
  <si>
    <t>6.3  Oprema za vodenje prometa</t>
  </si>
  <si>
    <t>63 111</t>
  </si>
  <si>
    <t>6.4  Oprema za zavarovanje prometa</t>
  </si>
  <si>
    <t>64 113</t>
  </si>
  <si>
    <t>64 435</t>
  </si>
  <si>
    <t>64 941</t>
  </si>
  <si>
    <t>6.6  Druga prometna oprema cest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</si>
  <si>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</si>
  <si>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</si>
  <si>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</si>
  <si>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</si>
  <si>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</si>
  <si>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</si>
  <si>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7.5  Javna razsvetljava</t>
  </si>
  <si>
    <t>7.6  Vodovodi</t>
  </si>
  <si>
    <t>76 111</t>
  </si>
  <si>
    <t>76 514</t>
  </si>
  <si>
    <t>7.9  Preizkusi, nadzor in tehnična dokumentacija</t>
  </si>
  <si>
    <t>79 311</t>
  </si>
  <si>
    <t>ur</t>
  </si>
  <si>
    <t>79 351</t>
  </si>
  <si>
    <t>79 511</t>
  </si>
  <si>
    <t>31 131</t>
  </si>
  <si>
    <t>31 132</t>
  </si>
  <si>
    <t>31 181</t>
  </si>
  <si>
    <t>3.1.4-6 Asfaltne nosilne plasti - Asphalt concrete - base (AC base)</t>
  </si>
  <si>
    <t>31 552</t>
  </si>
  <si>
    <t>31 646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</si>
  <si>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</si>
  <si>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</si>
  <si>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</si>
  <si>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</si>
  <si>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</si>
  <si>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</si>
  <si>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</si>
  <si>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</si>
  <si>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</si>
  <si>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</si>
  <si>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3.2.5 Vezane asfaltne obrabne plasti – drenažni asfalti</t>
  </si>
  <si>
    <t>32 523</t>
  </si>
  <si>
    <t>3.2.7 Asfaltne obrabne in zaporne plasti - tankoplastne prevleke - Slurry surfacing (SS)</t>
  </si>
  <si>
    <t>3.4  Tlakovane obrabne plasti</t>
  </si>
  <si>
    <t>3.5  Robni elementi vozišč</t>
  </si>
  <si>
    <t>34 612</t>
  </si>
  <si>
    <t>34 812</t>
  </si>
  <si>
    <t>3.5.2 Robniki</t>
  </si>
  <si>
    <t>3.5.3 Obrobe</t>
  </si>
  <si>
    <t>35 214</t>
  </si>
  <si>
    <t>35 235</t>
  </si>
  <si>
    <t>35 275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</si>
  <si>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</si>
  <si>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</si>
  <si>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</si>
  <si>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</si>
  <si>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</si>
  <si>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</si>
  <si>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</si>
  <si>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</si>
  <si>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</si>
  <si>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</si>
  <si>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</si>
  <si>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</si>
  <si>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</si>
  <si>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</si>
  <si>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</si>
  <si>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</si>
  <si>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</si>
  <si>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</si>
  <si>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</si>
  <si>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</si>
  <si>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</si>
  <si>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</si>
  <si>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>32 762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</si>
  <si>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</si>
  <si>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</si>
  <si>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</si>
  <si>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</si>
  <si>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Dobava in postavitev nove nadstrešnice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</si>
  <si>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</si>
  <si>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</si>
  <si>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</si>
  <si>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</si>
  <si>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Preložitev oz. višinska prilagoditev tlakovcev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</si>
  <si>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</si>
  <si>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</si>
  <si>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</si>
  <si>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</si>
  <si>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</si>
  <si>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</si>
  <si>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</si>
  <si>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</si>
  <si>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</si>
  <si>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</si>
  <si>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</si>
  <si>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</si>
  <si>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>55 ___</t>
  </si>
  <si>
    <r>
      <t xml:space="preserve">Doplačilo za izdelavo mulde v širini 50cm
in minimalni globini 5cm ( </t>
    </r>
    <r>
      <rPr>
        <i/>
        <sz val="10"/>
        <color theme="1"/>
        <rFont val="Arial Narrow"/>
        <family val="2"/>
        <charset val="238"/>
      </rPr>
      <t xml:space="preserve">asfalt upoštevan v zgornji postavki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</si>
  <si>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obrabne in drenažne plasti bituminizirane zmesi </t>
    </r>
    <r>
      <rPr>
        <b/>
        <sz val="10"/>
        <color theme="1"/>
        <rFont val="Arial Narrow"/>
        <family val="2"/>
        <charset val="238"/>
      </rPr>
      <t>PA 8 PmB 45/80-65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bus postajališče </t>
    </r>
    <r>
      <rPr>
        <sz val="10"/>
        <color theme="1"/>
        <rFont val="Arial Narrow"/>
        <family val="2"/>
        <charset val="238"/>
      </rPr>
      <t xml:space="preserve">)
</t>
    </r>
  </si>
  <si>
    <r>
      <t>Dobava in izvedba zalitja por z malto tipa Creteo Confalt vključno s peskanjem (</t>
    </r>
    <r>
      <rPr>
        <i/>
        <sz val="10"/>
        <color theme="1"/>
        <rFont val="Arial Narrow"/>
        <family val="2"/>
        <charset val="238"/>
      </rPr>
      <t xml:space="preserve"> bus postajališče </t>
    </r>
    <r>
      <rPr>
        <sz val="10"/>
        <color theme="1"/>
        <rFont val="Arial Narrow"/>
        <family val="2"/>
        <charset val="238"/>
      </rPr>
      <t xml:space="preserve">)
</t>
    </r>
  </si>
  <si>
    <t xml:space="preserve">Odstranitev vej predhodno posekanih dreves
</t>
  </si>
  <si>
    <t xml:space="preserve">Porušitev in odstranitev robnika iz naravnega kamna
</t>
  </si>
  <si>
    <t xml:space="preserve">Porušitev in odstranitev obrobe iz granitnih kock
</t>
  </si>
  <si>
    <t xml:space="preserve">Porušitev grednega robnika iz cementnega betona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</si>
  <si>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</si>
  <si>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</si>
  <si>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</si>
  <si>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</si>
  <si>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</si>
  <si>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Demontaža jeklene varnostne ograje (JVO)
</t>
  </si>
  <si>
    <t xml:space="preserve">Porušitev in odstranitev žive meje
</t>
  </si>
  <si>
    <t xml:space="preserve">Porušitev in odstranitev ograje iz železnih elementov
</t>
  </si>
  <si>
    <t xml:space="preserve">Porušitev in odstranitev ograje iz cementnega betona
</t>
  </si>
  <si>
    <t>75 711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</si>
  <si>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</si>
  <si>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t>32 ___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</si>
  <si>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</si>
  <si>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</si>
  <si>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</si>
  <si>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</si>
  <si>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t xml:space="preserve">Izdelava posteljice v debelini plasti do 40 cm iz zrnate kamnine – 3. kategorije
</t>
  </si>
  <si>
    <t xml:space="preserve">Izdelava posteljice v debelini plasti do 30 cm iz zrnate kamnine – 3. kategorije
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</si>
  <si>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</si>
  <si>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</si>
  <si>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</si>
  <si>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</si>
  <si>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r>
      <t>Doplačilo za izdelavo kanalizacije</t>
    </r>
    <r>
      <rPr>
        <b/>
        <sz val="10"/>
        <color theme="1"/>
        <rFont val="Arial Narrow"/>
        <family val="2"/>
        <charset val="238"/>
      </rPr>
      <t xml:space="preserve"> v globini 1,1 do 2 m</t>
    </r>
    <r>
      <rPr>
        <sz val="10"/>
        <color theme="1"/>
        <rFont val="Arial Narrow"/>
        <family val="2"/>
        <charset val="238"/>
      </rPr>
      <t xml:space="preserve"> s cevmi premera do</t>
    </r>
    <r>
      <rPr>
        <b/>
        <sz val="10"/>
        <color theme="1"/>
        <rFont val="Arial Narrow"/>
        <family val="2"/>
        <charset val="238"/>
      </rPr>
      <t xml:space="preserve"> DN315</t>
    </r>
    <r>
      <rPr>
        <sz val="10"/>
        <color theme="1"/>
        <rFont val="Arial Narrow"/>
        <family val="2"/>
        <charset val="238"/>
      </rPr>
      <t xml:space="preserve"> mm 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</si>
  <si>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</si>
  <si>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4000 mm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</si>
  <si>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</si>
  <si>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</si>
  <si>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Dobava in postavitev </t>
    </r>
    <r>
      <rPr>
        <b/>
        <i/>
        <sz val="10"/>
        <color theme="1"/>
        <rFont val="Arial Narrow"/>
        <family val="2"/>
        <charset val="238"/>
      </rPr>
      <t>plastičnega smernika</t>
    </r>
    <r>
      <rPr>
        <sz val="10"/>
        <color theme="1"/>
        <rFont val="Arial Narrow"/>
        <family val="2"/>
        <charset val="238"/>
      </rPr>
      <t xml:space="preserve"> z votlim prerezom, </t>
    </r>
    <r>
      <rPr>
        <b/>
        <i/>
        <sz val="10"/>
        <color theme="1"/>
        <rFont val="Arial Narrow"/>
        <family val="2"/>
        <charset val="238"/>
      </rPr>
      <t>dolžina 1200 mm</t>
    </r>
    <r>
      <rPr>
        <sz val="10"/>
        <color theme="1"/>
        <rFont val="Arial Narrow"/>
        <family val="2"/>
        <charset val="238"/>
      </rPr>
      <t xml:space="preserve">, z odsevnikom iz folije
</t>
    </r>
  </si>
  <si>
    <t xml:space="preserve">Dobava in zasaditev žive meje 
</t>
  </si>
  <si>
    <t xml:space="preserve">Dobava in montaža elektronskega prikazovalnika v nadstrešnici avtobusnega čakališča
</t>
  </si>
  <si>
    <t xml:space="preserve">Izdelava napisa s podatki o avtobusnem čakališču v "Braillovi pisavi" za slepe
</t>
  </si>
  <si>
    <r>
      <t xml:space="preserve">kos
</t>
    </r>
    <r>
      <rPr>
        <sz val="9"/>
        <color theme="1"/>
        <rFont val="Arial Narrow"/>
        <family val="2"/>
        <charset val="238"/>
      </rPr>
      <t>(ocena)</t>
    </r>
  </si>
  <si>
    <t>64 012</t>
  </si>
  <si>
    <t xml:space="preserve">Ureditev planuma temeljnih tal za izvedbo podložnega betona betonskih parapetnih zidov
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</si>
  <si>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</si>
  <si>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</si>
  <si>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</si>
  <si>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t>44 978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</si>
  <si>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</si>
  <si>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ukrivljene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>, s prerezom</t>
    </r>
    <r>
      <rPr>
        <b/>
        <i/>
        <sz val="10"/>
        <color theme="1"/>
        <rFont val="Arial Narrow"/>
        <family val="2"/>
        <charset val="238"/>
      </rPr>
      <t xml:space="preserve"> 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v muldi</t>
    </r>
    <r>
      <rPr>
        <sz val="10"/>
        <color theme="1"/>
        <rFont val="Arial Narrow"/>
        <family val="2"/>
        <charset val="238"/>
      </rPr>
      <t xml:space="preserve"> )
</t>
    </r>
  </si>
  <si>
    <t>34 931</t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</si>
  <si>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</si>
  <si>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</si>
  <si>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Izdelava tlakovane obrabne plasti iz </t>
    </r>
    <r>
      <rPr>
        <b/>
        <i/>
        <sz val="10"/>
        <color theme="1"/>
        <rFont val="Arial Narrow"/>
        <family val="2"/>
        <charset val="238"/>
      </rPr>
      <t xml:space="preserve">plošč iz zaribanega cementnega betona </t>
    </r>
    <r>
      <rPr>
        <sz val="10"/>
        <color theme="1"/>
        <rFont val="Arial Narrow"/>
        <family val="2"/>
        <charset val="238"/>
      </rPr>
      <t xml:space="preserve"> velikosti do</t>
    </r>
    <r>
      <rPr>
        <b/>
        <i/>
        <sz val="10"/>
        <color theme="1"/>
        <rFont val="Arial Narrow"/>
        <family val="2"/>
        <charset val="238"/>
      </rPr>
      <t xml:space="preserve"> 20 cm /20 cm/8 cm</t>
    </r>
    <r>
      <rPr>
        <sz val="10"/>
        <color theme="1"/>
        <rFont val="Arial Narrow"/>
        <family val="2"/>
        <charset val="238"/>
      </rPr>
      <t xml:space="preserve">, stiki zaliti s cementno malto
</t>
    </r>
  </si>
  <si>
    <r>
      <t xml:space="preserve">Izdelava tlakovane obrabne plasti iz </t>
    </r>
    <r>
      <rPr>
        <b/>
        <i/>
        <sz val="10"/>
        <color theme="1"/>
        <rFont val="Arial Narrow"/>
        <family val="2"/>
        <charset val="238"/>
      </rPr>
      <t>plošč iz cementnega betona</t>
    </r>
    <r>
      <rPr>
        <sz val="10"/>
        <color theme="1"/>
        <rFont val="Arial Narrow"/>
        <family val="2"/>
        <charset val="238"/>
      </rPr>
      <t xml:space="preserve">  velikosti do</t>
    </r>
    <r>
      <rPr>
        <b/>
        <i/>
        <sz val="10"/>
        <color theme="1"/>
        <rFont val="Arial Narrow"/>
        <family val="2"/>
        <charset val="238"/>
      </rPr>
      <t xml:space="preserve"> 40 cm/40 cm/4 cm</t>
    </r>
    <r>
      <rPr>
        <sz val="10"/>
        <color theme="1"/>
        <rFont val="Arial Narrow"/>
        <family val="2"/>
        <charset val="238"/>
      </rPr>
      <t xml:space="preserve">, stiki zaliti s cementno malto
</t>
    </r>
  </si>
  <si>
    <t>34 923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</si>
  <si>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</si>
  <si>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</si>
  <si>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>66 922</t>
  </si>
  <si>
    <t>66 923</t>
  </si>
  <si>
    <t>66 924</t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</si>
  <si>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</si>
  <si>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</si>
  <si>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</si>
  <si>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DN160 mm</t>
    </r>
    <r>
      <rPr>
        <sz val="10"/>
        <color theme="1"/>
        <rFont val="Arial Narrow"/>
        <family val="2"/>
        <charset val="238"/>
      </rPr>
      <t xml:space="preserve">
</t>
    </r>
  </si>
  <si>
    <t>79 516</t>
  </si>
  <si>
    <r>
      <t xml:space="preserve">Zaščita oz. prestavitev obstoječega </t>
    </r>
    <r>
      <rPr>
        <b/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</si>
  <si>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</si>
  <si>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</si>
  <si>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</si>
  <si>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</si>
  <si>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</si>
  <si>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</si>
  <si>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</si>
  <si>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</si>
  <si>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</si>
  <si>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</si>
  <si>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r>
      <rPr>
        <b/>
        <i/>
        <sz val="10"/>
        <rFont val="Arial Narrow"/>
        <family val="2"/>
        <charset val="238"/>
      </rPr>
      <t>Opravljanje pregleda</t>
    </r>
    <r>
      <rPr>
        <sz val="10"/>
        <rFont val="Arial Narrow"/>
        <family val="2"/>
        <charset val="238"/>
      </rPr>
      <t xml:space="preserve"> proge, zavarovanje prometa na nivojskih prehodih, varovanje delovne skupine, delovišča, posameznega odseka proge ali objekta oziroma izvajanje drugih nalog </t>
    </r>
    <r>
      <rPr>
        <b/>
        <i/>
        <sz val="10"/>
        <rFont val="Arial Narrow"/>
        <family val="2"/>
        <charset val="238"/>
      </rPr>
      <t xml:space="preserve">progovnega čuvaja </t>
    </r>
    <r>
      <rPr>
        <sz val="10"/>
        <rFont val="Arial Narrow"/>
        <family val="2"/>
        <charset val="238"/>
      </rPr>
      <t xml:space="preserve">(SŽ)
</t>
    </r>
  </si>
  <si>
    <t xml:space="preserve">Demontaža prometnega znaka na enem podstavku
</t>
  </si>
  <si>
    <t xml:space="preserve">Porušitev in odstranitev cementnobetonske krovne plasti v debelini do 20 cm
</t>
  </si>
  <si>
    <r>
      <t>Rezanje asfaltne plasti s talno diamantno žago, debele 11 do 15 cm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>)</t>
    </r>
  </si>
  <si>
    <r>
      <t>Rezanje asfaltne plasti s talno diamantno žago, debele 6 do 10 cm
(</t>
    </r>
    <r>
      <rPr>
        <i/>
        <sz val="10"/>
        <color theme="1"/>
        <rFont val="Arial Narrow"/>
        <family val="2"/>
        <charset val="238"/>
      </rPr>
      <t>uvozi, dvorišča, cestni priključki</t>
    </r>
    <r>
      <rPr>
        <sz val="10"/>
        <color theme="1"/>
        <rFont val="Arial Narrow"/>
        <family val="2"/>
        <charset val="238"/>
      </rPr>
      <t>)</t>
    </r>
  </si>
  <si>
    <r>
      <t>Rezanje asfaltne plasti s talno diamantno žago, debele do 5 cm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</si>
  <si>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do 3 cm 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</si>
  <si>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4 do 7 cm 
(</t>
    </r>
    <r>
      <rPr>
        <i/>
        <sz val="10"/>
        <color theme="1"/>
        <rFont val="Arial Narrow"/>
        <family val="2"/>
        <charset val="238"/>
      </rPr>
      <t>uvozi, dvorišča, cestni priključki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</si>
  <si>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8 do 10 cm 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</si>
  <si>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vozišče-cestni priključki, uvozi</t>
    </r>
    <r>
      <rPr>
        <sz val="10"/>
        <color theme="1"/>
        <rFont val="Arial Narrow"/>
        <family val="2"/>
        <charset val="238"/>
      </rPr>
      <t xml:space="preserve"> )
</t>
    </r>
  </si>
  <si>
    <t xml:space="preserve">Porušitev in odstranitev kanalizacije in požiralniških navezav iz obbetoniranih cevi s premerom do 40 cm
</t>
  </si>
  <si>
    <t xml:space="preserve">Porušitev in odstranitev vtočnega jaška (požiralnik) z notranjo stranico/premerom do 60 cm
</t>
  </si>
  <si>
    <r>
      <t xml:space="preserve">Dobava in vgraditev ograje za pešce (CVO) iz jeklenih cevnih profilov z vertikalnimi polnili, visoke do 120 cm, </t>
    </r>
    <r>
      <rPr>
        <b/>
        <i/>
        <sz val="10"/>
        <color theme="1"/>
        <rFont val="Arial Narrow"/>
        <family val="2"/>
        <charset val="238"/>
      </rPr>
      <t>vgradnja na betonski venec na obstoječem mostu</t>
    </r>
    <r>
      <rPr>
        <sz val="10"/>
        <color theme="1"/>
        <rFont val="Arial Narrow"/>
        <family val="2"/>
        <charset val="238"/>
      </rPr>
      <t xml:space="preserve">, vključno z vsem montažnim materialom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</si>
  <si>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talne pohodne prezračevalne LTŽ rešetke</t>
    </r>
    <r>
      <rPr>
        <sz val="10"/>
        <color theme="1"/>
        <rFont val="Arial Narrow"/>
        <family val="2"/>
        <charset val="238"/>
      </rPr>
      <t xml:space="preserve"> ob kletnih oknih, dim.: do 1,50 x 0,50 mm, vključno z vsem vgradnjim materialom (ob objektu "</t>
    </r>
    <r>
      <rPr>
        <b/>
        <i/>
        <sz val="10"/>
        <color theme="1"/>
        <rFont val="Arial Narrow"/>
        <family val="2"/>
        <charset val="238"/>
      </rPr>
      <t>Pot heroja Trtnika 39</t>
    </r>
    <r>
      <rPr>
        <sz val="10"/>
        <color theme="1"/>
        <rFont val="Arial Narrow"/>
        <family val="2"/>
        <charset val="238"/>
      </rPr>
      <t xml:space="preserve">")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</si>
  <si>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12 cm</t>
    </r>
    <r>
      <rPr>
        <sz val="10"/>
        <color theme="1"/>
        <rFont val="Arial Narrow"/>
        <family val="2"/>
        <charset val="238"/>
      </rPr>
      <t xml:space="preserve"> 
( </t>
    </r>
    <r>
      <rPr>
        <i/>
        <sz val="10"/>
        <color theme="1"/>
        <rFont val="Arial Narrow"/>
        <family val="2"/>
        <charset val="238"/>
      </rPr>
      <t>vozišče, kolesarski pasovi na vozišču, bus postajališče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</si>
  <si>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 xml:space="preserve">Predelava LTŽ pokrova betonskega vodovodnega jaška </t>
    </r>
    <r>
      <rPr>
        <i/>
        <sz val="10"/>
        <color theme="1"/>
        <rFont val="Arial Narrow"/>
        <family val="2"/>
        <charset val="238"/>
      </rPr>
      <t>(med T16 in T17):</t>
    </r>
    <r>
      <rPr>
        <sz val="10"/>
        <color theme="1"/>
        <rFont val="Arial Narrow"/>
        <family val="2"/>
        <charset val="238"/>
      </rPr>
      <t xml:space="preserve">
- Strojni izkop do globine 0,60 m, ročni izkop do globine 1,00 m,
- Izdelava novega AB venca, vključno z armaturo, za vgradnjo 
   pokrova premera DN600
- Tipska tesnila,
- Drobni inštalacijski material
- LTŽ pokrov, nosilnosti do 400 kN
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</si>
  <si>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 ali linijskega požiralnika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vtočni/revizijski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</si>
  <si>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poševne vtočne ali iztočne glave</t>
    </r>
    <r>
      <rPr>
        <sz val="10"/>
        <color theme="1"/>
        <rFont val="Arial Narrow"/>
        <family val="2"/>
        <charset val="238"/>
      </rPr>
      <t xml:space="preserve"> krožnega prereza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 s </t>
    </r>
    <r>
      <rPr>
        <b/>
        <i/>
        <sz val="10"/>
        <color theme="1"/>
        <rFont val="Arial Narrow"/>
        <family val="2"/>
        <charset val="238"/>
      </rPr>
      <t xml:space="preserve">premerom </t>
    </r>
    <r>
      <rPr>
        <i/>
        <sz val="10"/>
        <color theme="1"/>
        <rFont val="Arial Narrow"/>
        <family val="2"/>
        <charset val="238"/>
      </rPr>
      <t xml:space="preserve">do </t>
    </r>
    <r>
      <rPr>
        <b/>
        <i/>
        <sz val="10"/>
        <color theme="1"/>
        <rFont val="Arial Narrow"/>
        <family val="2"/>
        <charset val="238"/>
      </rPr>
      <t>DN250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</si>
  <si>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premera 600 mm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2232-4</t>
    </r>
    <r>
      <rPr>
        <sz val="10"/>
        <color theme="1"/>
        <rFont val="Arial Narrow"/>
        <family val="2"/>
        <charset val="238"/>
      </rPr>
      <t xml:space="preserve"> )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</si>
  <si>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jeklene varnostne ograje</t>
    </r>
    <r>
      <rPr>
        <sz val="10"/>
        <color theme="1"/>
        <rFont val="Arial Narrow"/>
        <family val="2"/>
        <charset val="238"/>
      </rPr>
      <t xml:space="preserve"> (</t>
    </r>
    <r>
      <rPr>
        <b/>
        <i/>
        <sz val="10"/>
        <color theme="1"/>
        <rFont val="Arial Narrow"/>
        <family val="2"/>
        <charset val="238"/>
      </rPr>
      <t>JVO</t>
    </r>
    <r>
      <rPr>
        <sz val="10"/>
        <color theme="1"/>
        <rFont val="Arial Narrow"/>
        <family val="2"/>
        <charset val="238"/>
      </rPr>
      <t>), vključno vse elemente, za nivo zadrževanja</t>
    </r>
    <r>
      <rPr>
        <b/>
        <i/>
        <sz val="10"/>
        <color theme="1"/>
        <rFont val="Arial Narrow"/>
        <family val="2"/>
        <charset val="238"/>
      </rPr>
      <t xml:space="preserve"> N2</t>
    </r>
    <r>
      <rPr>
        <sz val="10"/>
        <color theme="1"/>
        <rFont val="Arial Narrow"/>
        <family val="2"/>
        <charset val="238"/>
      </rPr>
      <t xml:space="preserve"> in za delovno širino</t>
    </r>
    <r>
      <rPr>
        <b/>
        <i/>
        <sz val="10"/>
        <color theme="1"/>
        <rFont val="Arial Narrow"/>
        <family val="2"/>
        <charset val="238"/>
      </rPr>
      <t xml:space="preserve"> W5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</si>
  <si>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stebra iz jekla</t>
    </r>
    <r>
      <rPr>
        <sz val="10"/>
        <color theme="1"/>
        <rFont val="Arial Narrow"/>
        <family val="2"/>
        <charset val="238"/>
      </rPr>
      <t xml:space="preserve"> za </t>
    </r>
    <r>
      <rPr>
        <i/>
        <sz val="10"/>
        <color theme="1"/>
        <rFont val="Arial Narrow"/>
        <family val="2"/>
        <charset val="238"/>
      </rPr>
      <t xml:space="preserve">varnostno ograjo </t>
    </r>
    <r>
      <rPr>
        <sz val="10"/>
        <color theme="1"/>
        <rFont val="Arial Narrow"/>
        <family val="2"/>
        <charset val="238"/>
      </rPr>
      <t>(JVO), 
C prereza, dolžine 1900 mm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</si>
  <si>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inox stebrička</t>
    </r>
    <r>
      <rPr>
        <sz val="10"/>
        <color theme="1"/>
        <rFont val="Arial Narrow"/>
        <family val="2"/>
        <charset val="238"/>
      </rPr>
      <t xml:space="preserve">
</t>
    </r>
  </si>
  <si>
    <t>Široki izkop vezljive zemljine – 3. kategorije – strojno z nakladanjem</t>
  </si>
  <si>
    <r>
      <t xml:space="preserve">Izdelava nevezane nosilne plasti enakomerno zrnatega drobljenca iz kamnine v debelini 20 cm  ( </t>
    </r>
    <r>
      <rPr>
        <i/>
        <sz val="10"/>
        <color theme="1"/>
        <rFont val="Arial Narrow"/>
        <family val="2"/>
        <charset val="238"/>
      </rPr>
      <t>pločnik, uvozi, dvorišča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</si>
  <si>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Izdelava nevezane nosilne plasti enakomerno zrnatega drobljenca iz kamnine v debelini 30 cm  
( </t>
    </r>
    <r>
      <rPr>
        <i/>
        <sz val="10"/>
        <rFont val="Arial Narrow"/>
        <family val="2"/>
        <charset val="238"/>
      </rPr>
      <t>vozišče-glavna cesta, vozišče-cestni priključki, bus postajališče</t>
    </r>
    <r>
      <rPr>
        <sz val="10"/>
        <rFont val="Arial Narrow"/>
        <family val="2"/>
        <charset val="238"/>
      </rPr>
      <t xml:space="preserve"> )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</si>
  <si>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rebraste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bus čakališče )</t>
    </r>
    <r>
      <rPr>
        <sz val="10"/>
        <color theme="1"/>
        <rFont val="Arial Narrow"/>
        <family val="2"/>
        <charset val="238"/>
      </rPr>
      <t xml:space="preserve">
</t>
    </r>
  </si>
  <si>
    <t xml:space="preserve">Demontaža obvestilne table s površino do 1 m2
</t>
  </si>
  <si>
    <t xml:space="preserve">Humuziranje brežine in zelenice brez valjanja, v debelini do 20 cm - strojno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</si>
  <si>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v makadamu)</t>
    </r>
  </si>
  <si>
    <r>
      <t xml:space="preserve">Izdelava obrobe iz malih tlakovcev iz naravnega kamna velikosti 
10 cm / 10 cm / 10 cm  ( </t>
    </r>
    <r>
      <rPr>
        <i/>
        <sz val="10"/>
        <color theme="1"/>
        <rFont val="Arial Narrow"/>
        <family val="2"/>
        <charset val="238"/>
      </rPr>
      <t>granitne kocke-obroba pločnika</t>
    </r>
    <r>
      <rPr>
        <sz val="10"/>
        <color theme="1"/>
        <rFont val="Arial Narrow"/>
        <family val="2"/>
        <charset val="238"/>
      </rPr>
      <t xml:space="preserve"> )
</t>
    </r>
  </si>
  <si>
    <t>2267-24</t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</si>
  <si>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(</t>
    </r>
    <r>
      <rPr>
        <i/>
        <sz val="10"/>
        <rFont val="Arial Narrow"/>
        <family val="2"/>
        <charset val="238"/>
      </rPr>
      <t xml:space="preserve"> vtočni jašek s peskolovom</t>
    </r>
    <r>
      <rPr>
        <sz val="10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</si>
  <si>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2431, 2439</t>
    </r>
    <r>
      <rPr>
        <sz val="10"/>
        <color theme="1"/>
        <rFont val="Arial Narrow"/>
        <family val="2"/>
        <charset val="238"/>
      </rPr>
      <t xml:space="preserve"> )</t>
    </r>
  </si>
  <si>
    <t>2. FAZA, od T12 do T52</t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</si>
  <si>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rdeče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20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5233 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</si>
  <si>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do 0,5 m2
</t>
    </r>
    <r>
      <rPr>
        <i/>
        <sz val="10"/>
        <color theme="1"/>
        <rFont val="Arial Narrow"/>
        <family val="2"/>
        <charset val="238"/>
      </rPr>
      <t>( puščice na kolesarski stezi - 5411, 5421, 5422 )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</si>
  <si>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piktogrami na kolesarski stezi - 5609-1 )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</si>
  <si>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( 5231-širine 400 cm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</si>
  <si>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rumene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( 5335-1, klančina prometne grbine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</si>
  <si>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rumene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( 5333-2, bus-območje 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</si>
  <si>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30 cm </t>
    </r>
    <r>
      <rPr>
        <i/>
        <sz val="10"/>
        <color theme="1"/>
        <rFont val="Arial Narrow"/>
        <family val="2"/>
        <charset val="238"/>
      </rPr>
      <t xml:space="preserve"> ( 5333-2 )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</si>
  <si>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</t>
    </r>
    <r>
      <rPr>
        <b/>
        <i/>
        <sz val="10"/>
        <rFont val="Arial Narrow"/>
        <family val="2"/>
        <charset val="238"/>
      </rPr>
      <t xml:space="preserve"> 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12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>5111, 5121-3, 5112</t>
    </r>
    <r>
      <rPr>
        <sz val="10"/>
        <rFont val="Arial Narrow"/>
        <family val="2"/>
        <charset val="238"/>
      </rPr>
      <t xml:space="preserve"> 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</si>
  <si>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30 cm</t>
    </r>
    <r>
      <rPr>
        <sz val="10"/>
        <rFont val="Arial Narrow"/>
        <family val="2"/>
        <charset val="238"/>
      </rPr>
      <t xml:space="preserve"> 
( </t>
    </r>
    <r>
      <rPr>
        <i/>
        <sz val="10"/>
        <rFont val="Arial Narrow"/>
        <family val="2"/>
        <charset val="238"/>
      </rPr>
      <t xml:space="preserve">5212-stop črta na kolesarskem pasu </t>
    </r>
    <r>
      <rPr>
        <sz val="10"/>
        <rFont val="Arial Narrow"/>
        <family val="2"/>
        <charset val="238"/>
      </rPr>
      <t xml:space="preserve">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</si>
  <si>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50 cm</t>
    </r>
    <r>
      <rPr>
        <sz val="10"/>
        <rFont val="Arial Narrow"/>
        <family val="2"/>
        <charset val="238"/>
      </rPr>
      <t xml:space="preserve"> 
( </t>
    </r>
    <r>
      <rPr>
        <i/>
        <sz val="10"/>
        <rFont val="Arial Narrow"/>
        <family val="2"/>
        <charset val="238"/>
      </rPr>
      <t xml:space="preserve">5212-stop črta na vozišču 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</si>
  <si>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od 1,1 do 1,5 m2
</t>
    </r>
    <r>
      <rPr>
        <i/>
        <sz val="10"/>
        <color theme="1"/>
        <rFont val="Arial Narrow"/>
        <family val="2"/>
        <charset val="238"/>
      </rPr>
      <t xml:space="preserve">( 5231-širine 200 cm 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</si>
  <si>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( 5121, 5121-3 )</t>
    </r>
    <r>
      <rPr>
        <sz val="10"/>
        <color theme="1"/>
        <rFont val="Arial Narrow"/>
        <family val="2"/>
        <charset val="238"/>
      </rPr>
      <t xml:space="preserve">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</si>
  <si>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rumene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30 cm</t>
    </r>
    <r>
      <rPr>
        <sz val="10"/>
        <rFont val="Arial Narrow"/>
        <family val="2"/>
        <charset val="238"/>
      </rPr>
      <t xml:space="preserve"> 
( </t>
    </r>
    <r>
      <rPr>
        <i/>
        <sz val="10"/>
        <rFont val="Arial Narrow"/>
        <family val="2"/>
        <charset val="238"/>
      </rPr>
      <t xml:space="preserve">5333-2, bus </t>
    </r>
    <r>
      <rPr>
        <sz val="10"/>
        <rFont val="Arial Narrow"/>
        <family val="2"/>
        <charset val="238"/>
      </rPr>
      <t xml:space="preserve">)
</t>
    </r>
  </si>
  <si>
    <r>
      <t>Izdelava</t>
    </r>
    <r>
      <rPr>
        <b/>
        <i/>
        <sz val="10"/>
        <color theme="1"/>
        <rFont val="Arial Narrow"/>
        <family val="2"/>
        <charset val="238"/>
      </rPr>
      <t xml:space="preserve"> tankoslojne</t>
    </r>
    <r>
      <rPr>
        <sz val="10"/>
        <color theme="1"/>
        <rFont val="Arial Narrow"/>
        <family val="2"/>
        <charset val="238"/>
      </rPr>
      <t xml:space="preserve"> vzdolžne označbe na vozišču z </t>
    </r>
    <r>
      <rPr>
        <b/>
        <i/>
        <sz val="10"/>
        <color theme="1"/>
        <rFont val="Arial Narrow"/>
        <family val="2"/>
        <charset val="238"/>
      </rPr>
      <t>enokomponentno belo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širina črte 10 cm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5356, vzdolžno parkirišče</t>
    </r>
    <r>
      <rPr>
        <sz val="10"/>
        <color theme="1"/>
        <rFont val="Arial Narrow"/>
        <family val="2"/>
        <charset val="238"/>
      </rPr>
      <t xml:space="preserve"> )
</t>
    </r>
  </si>
  <si>
    <r>
      <t>Izdelava</t>
    </r>
    <r>
      <rPr>
        <b/>
        <i/>
        <sz val="10"/>
        <color theme="1"/>
        <rFont val="Arial Narrow"/>
        <family val="2"/>
        <charset val="238"/>
      </rPr>
      <t xml:space="preserve"> tankoslojne</t>
    </r>
    <r>
      <rPr>
        <sz val="10"/>
        <color theme="1"/>
        <rFont val="Arial Narrow"/>
        <family val="2"/>
        <charset val="238"/>
      </rPr>
      <t xml:space="preserve"> vzdolžne označbe na vozišču z </t>
    </r>
    <r>
      <rPr>
        <b/>
        <sz val="10"/>
        <color theme="1"/>
        <rFont val="Arial Narrow"/>
        <family val="2"/>
        <charset val="238"/>
      </rPr>
      <t xml:space="preserve">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5112</t>
    </r>
    <r>
      <rPr>
        <sz val="10"/>
        <color theme="1"/>
        <rFont val="Arial Narrow"/>
        <family val="2"/>
        <charset val="238"/>
      </rPr>
      <t xml:space="preserve"> 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</si>
  <si>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 tankoslojnih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( 5112 )</t>
    </r>
    <r>
      <rPr>
        <sz val="10"/>
        <color theme="1"/>
        <rFont val="Arial Narrow"/>
        <family val="2"/>
        <charset val="238"/>
      </rPr>
      <t xml:space="preserve">
</t>
    </r>
  </si>
  <si>
    <r>
      <t>Rekonstrukcija ceste "</t>
    </r>
    <r>
      <rPr>
        <b/>
        <sz val="12"/>
        <color theme="1"/>
        <rFont val="Arial Narrow"/>
        <family val="2"/>
        <charset val="238"/>
      </rPr>
      <t>Pot heroja Trtnika, LZ 212433</t>
    </r>
    <r>
      <rPr>
        <sz val="12"/>
        <color theme="1"/>
        <rFont val="Arial Narrow"/>
        <family val="2"/>
        <charset val="238"/>
      </rPr>
      <t>" v dolžini cca. 600m, z ureditvijo vozišča, kolesarskih pasov, pločnika in vzdolžnih parkirišč</t>
    </r>
    <r>
      <rPr>
        <b/>
        <sz val="12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</si>
  <si>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>( vozišče-cestni priključki, uvozi čez pločnik, uvozi, parkirišče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</si>
  <si>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vozišče-glavna cesta, vozišče-cestni priključki, bus postajališče, uvozi, parkirišče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</si>
  <si>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t>62 472</t>
  </si>
  <si>
    <r>
      <t xml:space="preserve">Izdelava </t>
    </r>
    <r>
      <rPr>
        <b/>
        <i/>
        <sz val="10"/>
        <rFont val="Arial Narrow"/>
        <family val="2"/>
        <charset val="238"/>
      </rPr>
      <t>dvokomponentne hladne plastike</t>
    </r>
    <r>
      <rPr>
        <sz val="10"/>
        <rFont val="Arial Narrow"/>
        <family val="2"/>
        <charset val="238"/>
      </rPr>
      <t xml:space="preserve"> za nanos </t>
    </r>
    <r>
      <rPr>
        <b/>
        <i/>
        <sz val="10"/>
        <rFont val="Arial Narrow"/>
        <family val="2"/>
        <charset val="238"/>
      </rPr>
      <t>5 x 3 cm vodilnih taktilnih linij</t>
    </r>
    <r>
      <rPr>
        <sz val="10"/>
        <rFont val="Arial Narrow"/>
        <family val="2"/>
        <charset val="238"/>
      </rPr>
      <t xml:space="preserve">, trajne označbe na vozišču, vključno s predhodnim </t>
    </r>
    <r>
      <rPr>
        <b/>
        <i/>
        <sz val="10"/>
        <rFont val="Arial Narrow"/>
        <family val="2"/>
        <charset val="238"/>
      </rPr>
      <t>premazom podlage</t>
    </r>
    <r>
      <rPr>
        <sz val="10"/>
        <rFont val="Arial Narrow"/>
        <family val="2"/>
        <charset val="238"/>
      </rPr>
      <t xml:space="preserve">, posamezna površina označbe </t>
    </r>
    <r>
      <rPr>
        <b/>
        <i/>
        <sz val="10"/>
        <rFont val="Arial Narrow"/>
        <family val="2"/>
        <charset val="238"/>
      </rPr>
      <t xml:space="preserve">od 0,6 do 1,0 m2  </t>
    </r>
    <r>
      <rPr>
        <i/>
        <sz val="10"/>
        <rFont val="Arial Narrow"/>
        <family val="2"/>
        <charset val="238"/>
      </rPr>
      <t>( vodilna taktilna linija - prehod za pešce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</si>
</sst>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4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0" xfId="0" applyFont="1"/>
    <xf numFmtId="0" fontId="2" fillId="0" borderId="0" xfId="0" applyFont="1" applyFill="1"/>
    <xf numFmtId="0" fontId="19" fillId="0" borderId="0" xfId="0" applyFont="1"/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10" fillId="6" borderId="12" xfId="0" applyNumberFormat="1" applyFont="1" applyFill="1" applyBorder="1" applyAlignment="1">
      <alignment vertical="top"/>
    </xf>
    <xf numFmtId="2" fontId="24" fillId="11" borderId="12" xfId="0" applyNumberFormat="1" applyFont="1" applyFill="1" applyBorder="1" applyAlignment="1">
      <alignment vertical="top"/>
    </xf>
    <xf numFmtId="2" fontId="11" fillId="11" borderId="12" xfId="0" applyNumberFormat="1" applyFont="1" applyFill="1" applyBorder="1" applyAlignment="1">
      <alignment vertical="top"/>
    </xf>
    <xf numFmtId="2" fontId="24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9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4" borderId="12" xfId="0" applyNumberFormat="1" applyFont="1" applyFill="1" applyBorder="1" applyAlignment="1">
      <alignment vertical="top"/>
    </xf>
    <xf numFmtId="2" fontId="24" fillId="14" borderId="12" xfId="0" applyNumberFormat="1" applyFont="1" applyFill="1" applyBorder="1" applyAlignment="1">
      <alignment vertical="top"/>
    </xf>
    <xf numFmtId="2" fontId="24" fillId="9" borderId="12" xfId="0" applyNumberFormat="1" applyFont="1" applyFill="1" applyBorder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9" borderId="0" xfId="0" applyNumberFormat="1" applyFont="1" applyFill="1" applyAlignment="1">
      <alignment vertical="top"/>
    </xf>
    <xf numFmtId="2" fontId="24" fillId="14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10" fillId="14" borderId="0" xfId="0" applyNumberFormat="1" applyFont="1" applyFill="1" applyAlignment="1">
      <alignment vertical="top"/>
    </xf>
    <xf numFmtId="2" fontId="10" fillId="9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26" fillId="7" borderId="0" xfId="0" applyNumberFormat="1" applyFont="1" applyFill="1" applyAlignment="1">
      <alignment vertical="top"/>
    </xf>
    <xf numFmtId="2" fontId="26" fillId="6" borderId="0" xfId="0" applyNumberFormat="1" applyFont="1" applyFill="1" applyAlignment="1">
      <alignment vertical="top"/>
    </xf>
    <xf numFmtId="2" fontId="26" fillId="11" borderId="0" xfId="0" applyNumberFormat="1" applyFont="1" applyFill="1" applyAlignment="1">
      <alignment vertical="top"/>
    </xf>
    <xf numFmtId="2" fontId="26" fillId="13" borderId="0" xfId="0" applyNumberFormat="1" applyFont="1" applyFill="1" applyAlignment="1">
      <alignment vertical="top"/>
    </xf>
    <xf numFmtId="2" fontId="25" fillId="11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5" fillId="5" borderId="0" xfId="0" applyNumberFormat="1" applyFont="1" applyFill="1" applyAlignment="1" applyProtection="1">
      <alignment vertical="top"/>
    </xf>
    <xf numFmtId="2" fontId="24" fillId="6" borderId="0" xfId="0" applyNumberFormat="1" applyFont="1" applyFill="1" applyAlignment="1" applyProtection="1">
      <alignment vertical="top"/>
    </xf>
    <xf numFmtId="2" fontId="24" fillId="11" borderId="0" xfId="0" applyNumberFormat="1" applyFont="1" applyFill="1" applyAlignment="1" applyProtection="1">
      <alignment vertical="top"/>
    </xf>
    <xf numFmtId="2" fontId="25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5" fillId="14" borderId="0" xfId="0" applyNumberFormat="1" applyFont="1" applyFill="1" applyAlignment="1" applyProtection="1">
      <alignment vertical="top"/>
    </xf>
    <xf numFmtId="2" fontId="24" fillId="14" borderId="0" xfId="0" applyNumberFormat="1" applyFont="1" applyFill="1" applyAlignment="1" applyProtection="1">
      <alignment vertical="top"/>
    </xf>
    <xf numFmtId="2" fontId="11" fillId="9" borderId="0" xfId="0" applyNumberFormat="1" applyFont="1" applyFill="1" applyAlignment="1" applyProtection="1">
      <alignment vertical="top"/>
    </xf>
    <xf numFmtId="2" fontId="10" fillId="9" borderId="0" xfId="0" applyNumberFormat="1" applyFont="1" applyFill="1" applyAlignment="1" applyProtection="1">
      <alignment vertical="top"/>
    </xf>
    <xf numFmtId="2" fontId="25" fillId="9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4" fillId="9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2" fontId="21" fillId="6" borderId="0" xfId="0" applyNumberFormat="1" applyFont="1" applyFill="1" applyAlignment="1">
      <alignment vertical="top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 applyProtection="1">
      <alignment horizontal="left" vertical="top" wrapText="1"/>
    </xf>
    <xf numFmtId="0" fontId="12" fillId="0" borderId="0" xfId="0" applyFont="1" applyFill="1" applyProtection="1"/>
    <xf numFmtId="0" fontId="13" fillId="0" borderId="0" xfId="0" applyFont="1" applyFill="1" applyProtection="1"/>
    <xf numFmtId="0" fontId="12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wrapText="1"/>
    </xf>
    <xf numFmtId="0" fontId="13" fillId="0" borderId="0" xfId="0" applyFont="1" applyFill="1" applyAlignment="1" applyProtection="1"/>
    <xf numFmtId="0" fontId="14" fillId="0" borderId="0" xfId="0" applyFont="1" applyFill="1" applyProtection="1"/>
    <xf numFmtId="0" fontId="15" fillId="0" borderId="0" xfId="0" applyFont="1" applyFill="1" applyProtection="1"/>
    <xf numFmtId="0" fontId="13" fillId="0" borderId="4" xfId="0" applyFont="1" applyFill="1" applyBorder="1" applyProtection="1"/>
    <xf numFmtId="0" fontId="13" fillId="0" borderId="5" xfId="0" applyFont="1" applyFill="1" applyBorder="1" applyProtection="1"/>
    <xf numFmtId="164" fontId="13" fillId="0" borderId="6" xfId="0" applyNumberFormat="1" applyFont="1" applyFill="1" applyBorder="1" applyProtection="1"/>
    <xf numFmtId="164" fontId="13" fillId="0" borderId="0" xfId="0" applyNumberFormat="1" applyFont="1" applyFill="1" applyProtection="1"/>
    <xf numFmtId="0" fontId="13" fillId="0" borderId="0" xfId="0" applyFont="1" applyFill="1" applyAlignment="1" applyProtection="1">
      <alignment horizontal="right"/>
    </xf>
    <xf numFmtId="2" fontId="13" fillId="0" borderId="0" xfId="0" applyNumberFormat="1" applyFont="1" applyFill="1" applyProtection="1"/>
    <xf numFmtId="0" fontId="15" fillId="0" borderId="4" xfId="0" applyFont="1" applyFill="1" applyBorder="1" applyProtection="1"/>
    <xf numFmtId="164" fontId="15" fillId="0" borderId="6" xfId="0" applyNumberFormat="1" applyFont="1" applyFill="1" applyBorder="1" applyProtection="1"/>
    <xf numFmtId="2" fontId="17" fillId="0" borderId="7" xfId="0" applyNumberFormat="1" applyFont="1" applyFill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0" fontId="19" fillId="0" borderId="3" xfId="0" applyFont="1" applyBorder="1" applyAlignment="1" applyProtection="1">
      <alignment horizontal="left" vertical="top" wrapText="1"/>
    </xf>
    <xf numFmtId="0" fontId="19" fillId="0" borderId="0" xfId="0" applyFont="1" applyAlignment="1" applyProtection="1">
      <alignment wrapText="1"/>
    </xf>
    <xf numFmtId="49" fontId="19" fillId="0" borderId="3" xfId="0" applyNumberFormat="1" applyFont="1" applyBorder="1" applyAlignment="1" applyProtection="1">
      <alignment vertical="top" wrapText="1"/>
    </xf>
    <xf numFmtId="0" fontId="19" fillId="0" borderId="3" xfId="0" applyFont="1" applyBorder="1" applyAlignment="1" applyProtection="1">
      <alignment horizontal="center" vertical="top" wrapText="1"/>
    </xf>
    <xf numFmtId="4" fontId="20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0" fontId="19" fillId="0" borderId="0" xfId="0" applyFont="1" applyProtection="1"/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2" fontId="9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 wrapText="1"/>
    </xf>
    <xf numFmtId="4" fontId="5" fillId="0" borderId="0" xfId="0" applyNumberFormat="1" applyFont="1" applyFill="1" applyAlignment="1" applyProtection="1">
      <alignment horizontal="center" vertical="top" wrapText="1"/>
    </xf>
    <xf numFmtId="2" fontId="9" fillId="0" borderId="0" xfId="0" applyNumberFormat="1" applyFont="1" applyFill="1" applyAlignment="1" applyProtection="1">
      <alignment horizontal="center" wrapText="1"/>
    </xf>
    <xf numFmtId="2" fontId="23" fillId="0" borderId="0" xfId="0" applyNumberFormat="1" applyFont="1" applyAlignment="1" applyProtection="1">
      <alignment horizontal="center" wrapText="1"/>
    </xf>
    <xf numFmtId="2" fontId="9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2" fontId="7" fillId="0" borderId="0" xfId="0" applyNumberFormat="1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left" vertical="top" wrapText="1"/>
    </xf>
    <xf numFmtId="4" fontId="19" fillId="0" borderId="0" xfId="0" applyNumberFormat="1" applyFont="1" applyAlignment="1" applyProtection="1">
      <alignment horizontal="center" vertical="top" wrapText="1"/>
    </xf>
    <xf numFmtId="4" fontId="21" fillId="3" borderId="1" xfId="1" applyNumberFormat="1" applyFont="1" applyFill="1" applyAlignment="1" applyProtection="1">
      <alignment horizontal="center" vertical="center" wrapText="1"/>
    </xf>
    <xf numFmtId="4" fontId="21" fillId="0" borderId="2" xfId="1" applyNumberFormat="1" applyFont="1" applyFill="1" applyBorder="1" applyAlignment="1" applyProtection="1">
      <alignment horizontal="center" vertical="top" wrapText="1"/>
    </xf>
    <xf numFmtId="2" fontId="22" fillId="4" borderId="5" xfId="0" applyNumberFormat="1" applyFont="1" applyFill="1" applyBorder="1" applyAlignment="1" applyProtection="1">
      <alignment horizontal="center" wrapText="1"/>
    </xf>
    <xf numFmtId="4" fontId="19" fillId="4" borderId="9" xfId="0" applyNumberFormat="1" applyFont="1" applyFill="1" applyBorder="1" applyAlignment="1" applyProtection="1">
      <alignment horizontal="center" vertical="top" wrapText="1"/>
    </xf>
    <xf numFmtId="2" fontId="5" fillId="0" borderId="0" xfId="0" applyNumberFormat="1" applyFont="1" applyAlignment="1" applyProtection="1">
      <alignment horizontal="center" vertical="top" wrapText="1"/>
    </xf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6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28" fillId="0" borderId="0" xfId="0" applyFont="1" applyFill="1" applyAlignment="1" applyProtection="1">
      <alignment horizontal="left" vertical="top" wrapText="1"/>
    </xf>
    <xf numFmtId="0" fontId="15" fillId="15" borderId="0" xfId="0" applyFont="1" applyFill="1" applyAlignment="1" applyProtection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10" fillId="0" borderId="0" xfId="0" applyNumberFormat="1" applyFont="1" applyFill="1" applyAlignment="1" applyProtection="1">
      <alignment horizontal="left" wrapText="1"/>
    </xf>
    <xf numFmtId="49" fontId="15" fillId="0" borderId="0" xfId="0" applyNumberFormat="1" applyFont="1" applyAlignment="1" applyProtection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93" customWidth="1"/>
    <col min="2" max="2" width="10.42578125" style="93" customWidth="1"/>
    <col min="3" max="4" width="9.140625" style="93"/>
    <col min="5" max="5" width="8.28515625" style="93" customWidth="1"/>
    <col min="6" max="6" width="9.5703125" style="93" customWidth="1"/>
    <col min="7" max="7" width="3.28515625" style="93" customWidth="1"/>
    <col min="8" max="8" width="19.85546875" style="93" customWidth="1"/>
    <col min="9" max="9" width="7.28515625" style="93" customWidth="1"/>
    <col min="10" max="10" width="12.7109375" style="93" customWidth="1"/>
    <col min="11" max="262" width="9.140625" style="93"/>
    <col min="263" max="263" width="7.42578125" style="93" customWidth="1"/>
    <col min="264" max="264" width="20.42578125" style="93" customWidth="1"/>
    <col min="265" max="265" width="17.140625" style="93" customWidth="1"/>
    <col min="266" max="266" width="12.7109375" style="93" customWidth="1"/>
    <col min="267" max="518" width="9.140625" style="93"/>
    <col min="519" max="519" width="7.42578125" style="93" customWidth="1"/>
    <col min="520" max="520" width="20.42578125" style="93" customWidth="1"/>
    <col min="521" max="521" width="17.140625" style="93" customWidth="1"/>
    <col min="522" max="522" width="12.7109375" style="93" customWidth="1"/>
    <col min="523" max="774" width="9.140625" style="93"/>
    <col min="775" max="775" width="7.42578125" style="93" customWidth="1"/>
    <col min="776" max="776" width="20.42578125" style="93" customWidth="1"/>
    <col min="777" max="777" width="17.140625" style="93" customWidth="1"/>
    <col min="778" max="778" width="12.7109375" style="93" customWidth="1"/>
    <col min="779" max="1030" width="9.140625" style="93"/>
    <col min="1031" max="1031" width="7.42578125" style="93" customWidth="1"/>
    <col min="1032" max="1032" width="20.42578125" style="93" customWidth="1"/>
    <col min="1033" max="1033" width="17.140625" style="93" customWidth="1"/>
    <col min="1034" max="1034" width="12.7109375" style="93" customWidth="1"/>
    <col min="1035" max="1286" width="9.140625" style="93"/>
    <col min="1287" max="1287" width="7.42578125" style="93" customWidth="1"/>
    <col min="1288" max="1288" width="20.42578125" style="93" customWidth="1"/>
    <col min="1289" max="1289" width="17.140625" style="93" customWidth="1"/>
    <col min="1290" max="1290" width="12.7109375" style="93" customWidth="1"/>
    <col min="1291" max="1542" width="9.140625" style="93"/>
    <col min="1543" max="1543" width="7.42578125" style="93" customWidth="1"/>
    <col min="1544" max="1544" width="20.42578125" style="93" customWidth="1"/>
    <col min="1545" max="1545" width="17.140625" style="93" customWidth="1"/>
    <col min="1546" max="1546" width="12.7109375" style="93" customWidth="1"/>
    <col min="1547" max="1798" width="9.140625" style="93"/>
    <col min="1799" max="1799" width="7.42578125" style="93" customWidth="1"/>
    <col min="1800" max="1800" width="20.42578125" style="93" customWidth="1"/>
    <col min="1801" max="1801" width="17.140625" style="93" customWidth="1"/>
    <col min="1802" max="1802" width="12.7109375" style="93" customWidth="1"/>
    <col min="1803" max="2054" width="9.140625" style="93"/>
    <col min="2055" max="2055" width="7.42578125" style="93" customWidth="1"/>
    <col min="2056" max="2056" width="20.42578125" style="93" customWidth="1"/>
    <col min="2057" max="2057" width="17.140625" style="93" customWidth="1"/>
    <col min="2058" max="2058" width="12.7109375" style="93" customWidth="1"/>
    <col min="2059" max="2310" width="9.140625" style="93"/>
    <col min="2311" max="2311" width="7.42578125" style="93" customWidth="1"/>
    <col min="2312" max="2312" width="20.42578125" style="93" customWidth="1"/>
    <col min="2313" max="2313" width="17.140625" style="93" customWidth="1"/>
    <col min="2314" max="2314" width="12.7109375" style="93" customWidth="1"/>
    <col min="2315" max="2566" width="9.140625" style="93"/>
    <col min="2567" max="2567" width="7.42578125" style="93" customWidth="1"/>
    <col min="2568" max="2568" width="20.42578125" style="93" customWidth="1"/>
    <col min="2569" max="2569" width="17.140625" style="93" customWidth="1"/>
    <col min="2570" max="2570" width="12.7109375" style="93" customWidth="1"/>
    <col min="2571" max="2822" width="9.140625" style="93"/>
    <col min="2823" max="2823" width="7.42578125" style="93" customWidth="1"/>
    <col min="2824" max="2824" width="20.42578125" style="93" customWidth="1"/>
    <col min="2825" max="2825" width="17.140625" style="93" customWidth="1"/>
    <col min="2826" max="2826" width="12.7109375" style="93" customWidth="1"/>
    <col min="2827" max="3078" width="9.140625" style="93"/>
    <col min="3079" max="3079" width="7.42578125" style="93" customWidth="1"/>
    <col min="3080" max="3080" width="20.42578125" style="93" customWidth="1"/>
    <col min="3081" max="3081" width="17.140625" style="93" customWidth="1"/>
    <col min="3082" max="3082" width="12.7109375" style="93" customWidth="1"/>
    <col min="3083" max="3334" width="9.140625" style="93"/>
    <col min="3335" max="3335" width="7.42578125" style="93" customWidth="1"/>
    <col min="3336" max="3336" width="20.42578125" style="93" customWidth="1"/>
    <col min="3337" max="3337" width="17.140625" style="93" customWidth="1"/>
    <col min="3338" max="3338" width="12.7109375" style="93" customWidth="1"/>
    <col min="3339" max="3590" width="9.140625" style="93"/>
    <col min="3591" max="3591" width="7.42578125" style="93" customWidth="1"/>
    <col min="3592" max="3592" width="20.42578125" style="93" customWidth="1"/>
    <col min="3593" max="3593" width="17.140625" style="93" customWidth="1"/>
    <col min="3594" max="3594" width="12.7109375" style="93" customWidth="1"/>
    <col min="3595" max="3846" width="9.140625" style="93"/>
    <col min="3847" max="3847" width="7.42578125" style="93" customWidth="1"/>
    <col min="3848" max="3848" width="20.42578125" style="93" customWidth="1"/>
    <col min="3849" max="3849" width="17.140625" style="93" customWidth="1"/>
    <col min="3850" max="3850" width="12.7109375" style="93" customWidth="1"/>
    <col min="3851" max="4102" width="9.140625" style="93"/>
    <col min="4103" max="4103" width="7.42578125" style="93" customWidth="1"/>
    <col min="4104" max="4104" width="20.42578125" style="93" customWidth="1"/>
    <col min="4105" max="4105" width="17.140625" style="93" customWidth="1"/>
    <col min="4106" max="4106" width="12.7109375" style="93" customWidth="1"/>
    <col min="4107" max="4358" width="9.140625" style="93"/>
    <col min="4359" max="4359" width="7.42578125" style="93" customWidth="1"/>
    <col min="4360" max="4360" width="20.42578125" style="93" customWidth="1"/>
    <col min="4361" max="4361" width="17.140625" style="93" customWidth="1"/>
    <col min="4362" max="4362" width="12.7109375" style="93" customWidth="1"/>
    <col min="4363" max="4614" width="9.140625" style="93"/>
    <col min="4615" max="4615" width="7.42578125" style="93" customWidth="1"/>
    <col min="4616" max="4616" width="20.42578125" style="93" customWidth="1"/>
    <col min="4617" max="4617" width="17.140625" style="93" customWidth="1"/>
    <col min="4618" max="4618" width="12.7109375" style="93" customWidth="1"/>
    <col min="4619" max="4870" width="9.140625" style="93"/>
    <col min="4871" max="4871" width="7.42578125" style="93" customWidth="1"/>
    <col min="4872" max="4872" width="20.42578125" style="93" customWidth="1"/>
    <col min="4873" max="4873" width="17.140625" style="93" customWidth="1"/>
    <col min="4874" max="4874" width="12.7109375" style="93" customWidth="1"/>
    <col min="4875" max="5126" width="9.140625" style="93"/>
    <col min="5127" max="5127" width="7.42578125" style="93" customWidth="1"/>
    <col min="5128" max="5128" width="20.42578125" style="93" customWidth="1"/>
    <col min="5129" max="5129" width="17.140625" style="93" customWidth="1"/>
    <col min="5130" max="5130" width="12.7109375" style="93" customWidth="1"/>
    <col min="5131" max="5382" width="9.140625" style="93"/>
    <col min="5383" max="5383" width="7.42578125" style="93" customWidth="1"/>
    <col min="5384" max="5384" width="20.42578125" style="93" customWidth="1"/>
    <col min="5385" max="5385" width="17.140625" style="93" customWidth="1"/>
    <col min="5386" max="5386" width="12.7109375" style="93" customWidth="1"/>
    <col min="5387" max="5638" width="9.140625" style="93"/>
    <col min="5639" max="5639" width="7.42578125" style="93" customWidth="1"/>
    <col min="5640" max="5640" width="20.42578125" style="93" customWidth="1"/>
    <col min="5641" max="5641" width="17.140625" style="93" customWidth="1"/>
    <col min="5642" max="5642" width="12.7109375" style="93" customWidth="1"/>
    <col min="5643" max="5894" width="9.140625" style="93"/>
    <col min="5895" max="5895" width="7.42578125" style="93" customWidth="1"/>
    <col min="5896" max="5896" width="20.42578125" style="93" customWidth="1"/>
    <col min="5897" max="5897" width="17.140625" style="93" customWidth="1"/>
    <col min="5898" max="5898" width="12.7109375" style="93" customWidth="1"/>
    <col min="5899" max="6150" width="9.140625" style="93"/>
    <col min="6151" max="6151" width="7.42578125" style="93" customWidth="1"/>
    <col min="6152" max="6152" width="20.42578125" style="93" customWidth="1"/>
    <col min="6153" max="6153" width="17.140625" style="93" customWidth="1"/>
    <col min="6154" max="6154" width="12.7109375" style="93" customWidth="1"/>
    <col min="6155" max="6406" width="9.140625" style="93"/>
    <col min="6407" max="6407" width="7.42578125" style="93" customWidth="1"/>
    <col min="6408" max="6408" width="20.42578125" style="93" customWidth="1"/>
    <col min="6409" max="6409" width="17.140625" style="93" customWidth="1"/>
    <col min="6410" max="6410" width="12.7109375" style="93" customWidth="1"/>
    <col min="6411" max="6662" width="9.140625" style="93"/>
    <col min="6663" max="6663" width="7.42578125" style="93" customWidth="1"/>
    <col min="6664" max="6664" width="20.42578125" style="93" customWidth="1"/>
    <col min="6665" max="6665" width="17.140625" style="93" customWidth="1"/>
    <col min="6666" max="6666" width="12.7109375" style="93" customWidth="1"/>
    <col min="6667" max="6918" width="9.140625" style="93"/>
    <col min="6919" max="6919" width="7.42578125" style="93" customWidth="1"/>
    <col min="6920" max="6920" width="20.42578125" style="93" customWidth="1"/>
    <col min="6921" max="6921" width="17.140625" style="93" customWidth="1"/>
    <col min="6922" max="6922" width="12.7109375" style="93" customWidth="1"/>
    <col min="6923" max="7174" width="9.140625" style="93"/>
    <col min="7175" max="7175" width="7.42578125" style="93" customWidth="1"/>
    <col min="7176" max="7176" width="20.42578125" style="93" customWidth="1"/>
    <col min="7177" max="7177" width="17.140625" style="93" customWidth="1"/>
    <col min="7178" max="7178" width="12.7109375" style="93" customWidth="1"/>
    <col min="7179" max="7430" width="9.140625" style="93"/>
    <col min="7431" max="7431" width="7.42578125" style="93" customWidth="1"/>
    <col min="7432" max="7432" width="20.42578125" style="93" customWidth="1"/>
    <col min="7433" max="7433" width="17.140625" style="93" customWidth="1"/>
    <col min="7434" max="7434" width="12.7109375" style="93" customWidth="1"/>
    <col min="7435" max="7686" width="9.140625" style="93"/>
    <col min="7687" max="7687" width="7.42578125" style="93" customWidth="1"/>
    <col min="7688" max="7688" width="20.42578125" style="93" customWidth="1"/>
    <col min="7689" max="7689" width="17.140625" style="93" customWidth="1"/>
    <col min="7690" max="7690" width="12.7109375" style="93" customWidth="1"/>
    <col min="7691" max="7942" width="9.140625" style="93"/>
    <col min="7943" max="7943" width="7.42578125" style="93" customWidth="1"/>
    <col min="7944" max="7944" width="20.42578125" style="93" customWidth="1"/>
    <col min="7945" max="7945" width="17.140625" style="93" customWidth="1"/>
    <col min="7946" max="7946" width="12.7109375" style="93" customWidth="1"/>
    <col min="7947" max="8198" width="9.140625" style="93"/>
    <col min="8199" max="8199" width="7.42578125" style="93" customWidth="1"/>
    <col min="8200" max="8200" width="20.42578125" style="93" customWidth="1"/>
    <col min="8201" max="8201" width="17.140625" style="93" customWidth="1"/>
    <col min="8202" max="8202" width="12.7109375" style="93" customWidth="1"/>
    <col min="8203" max="8454" width="9.140625" style="93"/>
    <col min="8455" max="8455" width="7.42578125" style="93" customWidth="1"/>
    <col min="8456" max="8456" width="20.42578125" style="93" customWidth="1"/>
    <col min="8457" max="8457" width="17.140625" style="93" customWidth="1"/>
    <col min="8458" max="8458" width="12.7109375" style="93" customWidth="1"/>
    <col min="8459" max="8710" width="9.140625" style="93"/>
    <col min="8711" max="8711" width="7.42578125" style="93" customWidth="1"/>
    <col min="8712" max="8712" width="20.42578125" style="93" customWidth="1"/>
    <col min="8713" max="8713" width="17.140625" style="93" customWidth="1"/>
    <col min="8714" max="8714" width="12.7109375" style="93" customWidth="1"/>
    <col min="8715" max="8966" width="9.140625" style="93"/>
    <col min="8967" max="8967" width="7.42578125" style="93" customWidth="1"/>
    <col min="8968" max="8968" width="20.42578125" style="93" customWidth="1"/>
    <col min="8969" max="8969" width="17.140625" style="93" customWidth="1"/>
    <col min="8970" max="8970" width="12.7109375" style="93" customWidth="1"/>
    <col min="8971" max="9222" width="9.140625" style="93"/>
    <col min="9223" max="9223" width="7.42578125" style="93" customWidth="1"/>
    <col min="9224" max="9224" width="20.42578125" style="93" customWidth="1"/>
    <col min="9225" max="9225" width="17.140625" style="93" customWidth="1"/>
    <col min="9226" max="9226" width="12.7109375" style="93" customWidth="1"/>
    <col min="9227" max="9478" width="9.140625" style="93"/>
    <col min="9479" max="9479" width="7.42578125" style="93" customWidth="1"/>
    <col min="9480" max="9480" width="20.42578125" style="93" customWidth="1"/>
    <col min="9481" max="9481" width="17.140625" style="93" customWidth="1"/>
    <col min="9482" max="9482" width="12.7109375" style="93" customWidth="1"/>
    <col min="9483" max="9734" width="9.140625" style="93"/>
    <col min="9735" max="9735" width="7.42578125" style="93" customWidth="1"/>
    <col min="9736" max="9736" width="20.42578125" style="93" customWidth="1"/>
    <col min="9737" max="9737" width="17.140625" style="93" customWidth="1"/>
    <col min="9738" max="9738" width="12.7109375" style="93" customWidth="1"/>
    <col min="9739" max="9990" width="9.140625" style="93"/>
    <col min="9991" max="9991" width="7.42578125" style="93" customWidth="1"/>
    <col min="9992" max="9992" width="20.42578125" style="93" customWidth="1"/>
    <col min="9993" max="9993" width="17.140625" style="93" customWidth="1"/>
    <col min="9994" max="9994" width="12.7109375" style="93" customWidth="1"/>
    <col min="9995" max="10246" width="9.140625" style="93"/>
    <col min="10247" max="10247" width="7.42578125" style="93" customWidth="1"/>
    <col min="10248" max="10248" width="20.42578125" style="93" customWidth="1"/>
    <col min="10249" max="10249" width="17.140625" style="93" customWidth="1"/>
    <col min="10250" max="10250" width="12.7109375" style="93" customWidth="1"/>
    <col min="10251" max="10502" width="9.140625" style="93"/>
    <col min="10503" max="10503" width="7.42578125" style="93" customWidth="1"/>
    <col min="10504" max="10504" width="20.42578125" style="93" customWidth="1"/>
    <col min="10505" max="10505" width="17.140625" style="93" customWidth="1"/>
    <col min="10506" max="10506" width="12.7109375" style="93" customWidth="1"/>
    <col min="10507" max="10758" width="9.140625" style="93"/>
    <col min="10759" max="10759" width="7.42578125" style="93" customWidth="1"/>
    <col min="10760" max="10760" width="20.42578125" style="93" customWidth="1"/>
    <col min="10761" max="10761" width="17.140625" style="93" customWidth="1"/>
    <col min="10762" max="10762" width="12.7109375" style="93" customWidth="1"/>
    <col min="10763" max="11014" width="9.140625" style="93"/>
    <col min="11015" max="11015" width="7.42578125" style="93" customWidth="1"/>
    <col min="11016" max="11016" width="20.42578125" style="93" customWidth="1"/>
    <col min="11017" max="11017" width="17.140625" style="93" customWidth="1"/>
    <col min="11018" max="11018" width="12.7109375" style="93" customWidth="1"/>
    <col min="11019" max="11270" width="9.140625" style="93"/>
    <col min="11271" max="11271" width="7.42578125" style="93" customWidth="1"/>
    <col min="11272" max="11272" width="20.42578125" style="93" customWidth="1"/>
    <col min="11273" max="11273" width="17.140625" style="93" customWidth="1"/>
    <col min="11274" max="11274" width="12.7109375" style="93" customWidth="1"/>
    <col min="11275" max="11526" width="9.140625" style="93"/>
    <col min="11527" max="11527" width="7.42578125" style="93" customWidth="1"/>
    <col min="11528" max="11528" width="20.42578125" style="93" customWidth="1"/>
    <col min="11529" max="11529" width="17.140625" style="93" customWidth="1"/>
    <col min="11530" max="11530" width="12.7109375" style="93" customWidth="1"/>
    <col min="11531" max="11782" width="9.140625" style="93"/>
    <col min="11783" max="11783" width="7.42578125" style="93" customWidth="1"/>
    <col min="11784" max="11784" width="20.42578125" style="93" customWidth="1"/>
    <col min="11785" max="11785" width="17.140625" style="93" customWidth="1"/>
    <col min="11786" max="11786" width="12.7109375" style="93" customWidth="1"/>
    <col min="11787" max="12038" width="9.140625" style="93"/>
    <col min="12039" max="12039" width="7.42578125" style="93" customWidth="1"/>
    <col min="12040" max="12040" width="20.42578125" style="93" customWidth="1"/>
    <col min="12041" max="12041" width="17.140625" style="93" customWidth="1"/>
    <col min="12042" max="12042" width="12.7109375" style="93" customWidth="1"/>
    <col min="12043" max="12294" width="9.140625" style="93"/>
    <col min="12295" max="12295" width="7.42578125" style="93" customWidth="1"/>
    <col min="12296" max="12296" width="20.42578125" style="93" customWidth="1"/>
    <col min="12297" max="12297" width="17.140625" style="93" customWidth="1"/>
    <col min="12298" max="12298" width="12.7109375" style="93" customWidth="1"/>
    <col min="12299" max="12550" width="9.140625" style="93"/>
    <col min="12551" max="12551" width="7.42578125" style="93" customWidth="1"/>
    <col min="12552" max="12552" width="20.42578125" style="93" customWidth="1"/>
    <col min="12553" max="12553" width="17.140625" style="93" customWidth="1"/>
    <col min="12554" max="12554" width="12.7109375" style="93" customWidth="1"/>
    <col min="12555" max="12806" width="9.140625" style="93"/>
    <col min="12807" max="12807" width="7.42578125" style="93" customWidth="1"/>
    <col min="12808" max="12808" width="20.42578125" style="93" customWidth="1"/>
    <col min="12809" max="12809" width="17.140625" style="93" customWidth="1"/>
    <col min="12810" max="12810" width="12.7109375" style="93" customWidth="1"/>
    <col min="12811" max="13062" width="9.140625" style="93"/>
    <col min="13063" max="13063" width="7.42578125" style="93" customWidth="1"/>
    <col min="13064" max="13064" width="20.42578125" style="93" customWidth="1"/>
    <col min="13065" max="13065" width="17.140625" style="93" customWidth="1"/>
    <col min="13066" max="13066" width="12.7109375" style="93" customWidth="1"/>
    <col min="13067" max="13318" width="9.140625" style="93"/>
    <col min="13319" max="13319" width="7.42578125" style="93" customWidth="1"/>
    <col min="13320" max="13320" width="20.42578125" style="93" customWidth="1"/>
    <col min="13321" max="13321" width="17.140625" style="93" customWidth="1"/>
    <col min="13322" max="13322" width="12.7109375" style="93" customWidth="1"/>
    <col min="13323" max="13574" width="9.140625" style="93"/>
    <col min="13575" max="13575" width="7.42578125" style="93" customWidth="1"/>
    <col min="13576" max="13576" width="20.42578125" style="93" customWidth="1"/>
    <col min="13577" max="13577" width="17.140625" style="93" customWidth="1"/>
    <col min="13578" max="13578" width="12.7109375" style="93" customWidth="1"/>
    <col min="13579" max="13830" width="9.140625" style="93"/>
    <col min="13831" max="13831" width="7.42578125" style="93" customWidth="1"/>
    <col min="13832" max="13832" width="20.42578125" style="93" customWidth="1"/>
    <col min="13833" max="13833" width="17.140625" style="93" customWidth="1"/>
    <col min="13834" max="13834" width="12.7109375" style="93" customWidth="1"/>
    <col min="13835" max="14086" width="9.140625" style="93"/>
    <col min="14087" max="14087" width="7.42578125" style="93" customWidth="1"/>
    <col min="14088" max="14088" width="20.42578125" style="93" customWidth="1"/>
    <col min="14089" max="14089" width="17.140625" style="93" customWidth="1"/>
    <col min="14090" max="14090" width="12.7109375" style="93" customWidth="1"/>
    <col min="14091" max="14342" width="9.140625" style="93"/>
    <col min="14343" max="14343" width="7.42578125" style="93" customWidth="1"/>
    <col min="14344" max="14344" width="20.42578125" style="93" customWidth="1"/>
    <col min="14345" max="14345" width="17.140625" style="93" customWidth="1"/>
    <col min="14346" max="14346" width="12.7109375" style="93" customWidth="1"/>
    <col min="14347" max="14598" width="9.140625" style="93"/>
    <col min="14599" max="14599" width="7.42578125" style="93" customWidth="1"/>
    <col min="14600" max="14600" width="20.42578125" style="93" customWidth="1"/>
    <col min="14601" max="14601" width="17.140625" style="93" customWidth="1"/>
    <col min="14602" max="14602" width="12.7109375" style="93" customWidth="1"/>
    <col min="14603" max="14854" width="9.140625" style="93"/>
    <col min="14855" max="14855" width="7.42578125" style="93" customWidth="1"/>
    <col min="14856" max="14856" width="20.42578125" style="93" customWidth="1"/>
    <col min="14857" max="14857" width="17.140625" style="93" customWidth="1"/>
    <col min="14858" max="14858" width="12.7109375" style="93" customWidth="1"/>
    <col min="14859" max="15110" width="9.140625" style="93"/>
    <col min="15111" max="15111" width="7.42578125" style="93" customWidth="1"/>
    <col min="15112" max="15112" width="20.42578125" style="93" customWidth="1"/>
    <col min="15113" max="15113" width="17.140625" style="93" customWidth="1"/>
    <col min="15114" max="15114" width="12.7109375" style="93" customWidth="1"/>
    <col min="15115" max="15366" width="9.140625" style="93"/>
    <col min="15367" max="15367" width="7.42578125" style="93" customWidth="1"/>
    <col min="15368" max="15368" width="20.42578125" style="93" customWidth="1"/>
    <col min="15369" max="15369" width="17.140625" style="93" customWidth="1"/>
    <col min="15370" max="15370" width="12.7109375" style="93" customWidth="1"/>
    <col min="15371" max="15622" width="9.140625" style="93"/>
    <col min="15623" max="15623" width="7.42578125" style="93" customWidth="1"/>
    <col min="15624" max="15624" width="20.42578125" style="93" customWidth="1"/>
    <col min="15625" max="15625" width="17.140625" style="93" customWidth="1"/>
    <col min="15626" max="15626" width="12.7109375" style="93" customWidth="1"/>
    <col min="15627" max="15878" width="9.140625" style="93"/>
    <col min="15879" max="15879" width="7.42578125" style="93" customWidth="1"/>
    <col min="15880" max="15880" width="20.42578125" style="93" customWidth="1"/>
    <col min="15881" max="15881" width="17.140625" style="93" customWidth="1"/>
    <col min="15882" max="15882" width="12.7109375" style="93" customWidth="1"/>
    <col min="15883" max="16134" width="9.140625" style="93"/>
    <col min="16135" max="16135" width="7.42578125" style="93" customWidth="1"/>
    <col min="16136" max="16136" width="20.42578125" style="93" customWidth="1"/>
    <col min="16137" max="16137" width="17.140625" style="93" customWidth="1"/>
    <col min="16138" max="16138" width="12.7109375" style="93" customWidth="1"/>
    <col min="16139" max="16384" width="9.140625" style="93"/>
  </cols>
  <sheetData>
    <row r="4" spans="3:9" x14ac:dyDescent="0.3">
      <c r="C4" s="92" t="s">
        <v>247</v>
      </c>
      <c r="E4" s="142" t="s">
        <v>366</v>
      </c>
      <c r="F4" s="142"/>
      <c r="G4" s="142"/>
      <c r="H4" s="142"/>
    </row>
    <row r="6" spans="3:9" ht="51.75" customHeight="1" x14ac:dyDescent="0.3">
      <c r="C6" s="94" t="s">
        <v>245</v>
      </c>
      <c r="D6" s="95"/>
      <c r="E6" s="143" t="s">
        <v>386</v>
      </c>
      <c r="F6" s="143"/>
      <c r="G6" s="143"/>
      <c r="H6" s="143"/>
      <c r="I6" s="95"/>
    </row>
    <row r="7" spans="3:9" x14ac:dyDescent="0.3">
      <c r="D7" s="96"/>
      <c r="E7" s="96"/>
      <c r="F7" s="96"/>
      <c r="G7" s="96"/>
      <c r="H7" s="96"/>
      <c r="I7" s="96"/>
    </row>
    <row r="8" spans="3:9" x14ac:dyDescent="0.3">
      <c r="C8" s="92" t="s">
        <v>246</v>
      </c>
      <c r="E8" s="144" t="s">
        <v>369</v>
      </c>
      <c r="F8" s="144"/>
      <c r="G8" s="144"/>
      <c r="H8" s="144"/>
    </row>
    <row r="9" spans="3:9" ht="17.25" x14ac:dyDescent="0.3">
      <c r="E9" s="97"/>
    </row>
    <row r="11" spans="3:9" x14ac:dyDescent="0.3">
      <c r="C11" s="98" t="s">
        <v>60</v>
      </c>
    </row>
    <row r="14" spans="3:9" x14ac:dyDescent="0.3">
      <c r="C14" s="99" t="s">
        <v>219</v>
      </c>
      <c r="D14" s="100"/>
      <c r="E14" s="100"/>
      <c r="F14" s="100"/>
      <c r="G14" s="100"/>
      <c r="H14" s="101" t="str">
        <f>'1. PREDDELA'!F67</f>
        <v/>
      </c>
    </row>
    <row r="15" spans="3:9" x14ac:dyDescent="0.3">
      <c r="H15" s="102"/>
    </row>
    <row r="16" spans="3:9" x14ac:dyDescent="0.3">
      <c r="C16" s="99" t="s">
        <v>220</v>
      </c>
      <c r="D16" s="100"/>
      <c r="E16" s="100"/>
      <c r="F16" s="100"/>
      <c r="G16" s="100"/>
      <c r="H16" s="101" t="str">
        <f>'2. ZEMELJSKA DELA'!F42</f>
        <v/>
      </c>
    </row>
    <row r="17" spans="3:8" x14ac:dyDescent="0.3">
      <c r="H17" s="102"/>
    </row>
    <row r="18" spans="3:8" x14ac:dyDescent="0.3">
      <c r="C18" s="99" t="s">
        <v>221</v>
      </c>
      <c r="D18" s="100"/>
      <c r="E18" s="100"/>
      <c r="F18" s="100"/>
      <c r="G18" s="100"/>
      <c r="H18" s="101" t="str">
        <f>'3. VOZIŠČNE KONSTRUKCIJE'!F67</f>
        <v/>
      </c>
    </row>
    <row r="19" spans="3:8" x14ac:dyDescent="0.3">
      <c r="H19" s="102"/>
    </row>
    <row r="20" spans="3:8" x14ac:dyDescent="0.3">
      <c r="C20" s="99" t="s">
        <v>222</v>
      </c>
      <c r="D20" s="100"/>
      <c r="E20" s="100"/>
      <c r="F20" s="100"/>
      <c r="G20" s="100"/>
      <c r="H20" s="101" t="str">
        <f>'4. ODVODNJAVANJE'!F37</f>
        <v/>
      </c>
    </row>
    <row r="21" spans="3:8" x14ac:dyDescent="0.3">
      <c r="H21" s="102"/>
    </row>
    <row r="22" spans="3:8" x14ac:dyDescent="0.3">
      <c r="C22" s="99" t="s">
        <v>223</v>
      </c>
      <c r="D22" s="100"/>
      <c r="E22" s="100"/>
      <c r="F22" s="100"/>
      <c r="G22" s="100"/>
      <c r="H22" s="101" t="str">
        <f>'5. GRADBENA IN OBRTNIŠKA DELA'!F15</f>
        <v/>
      </c>
    </row>
    <row r="23" spans="3:8" x14ac:dyDescent="0.3">
      <c r="H23" s="102"/>
    </row>
    <row r="24" spans="3:8" x14ac:dyDescent="0.3">
      <c r="C24" s="99" t="s">
        <v>224</v>
      </c>
      <c r="D24" s="100"/>
      <c r="E24" s="100"/>
      <c r="F24" s="100"/>
      <c r="G24" s="100"/>
      <c r="H24" s="101" t="str">
        <f>'6. OPREMA CEST'!F53</f>
        <v/>
      </c>
    </row>
    <row r="25" spans="3:8" x14ac:dyDescent="0.3">
      <c r="H25" s="102"/>
    </row>
    <row r="26" spans="3:8" x14ac:dyDescent="0.3">
      <c r="C26" s="99" t="s">
        <v>225</v>
      </c>
      <c r="D26" s="100"/>
      <c r="E26" s="100"/>
      <c r="F26" s="100"/>
      <c r="G26" s="100"/>
      <c r="H26" s="101" t="str">
        <f>'7. TUJE STORITVE'!F31</f>
        <v/>
      </c>
    </row>
    <row r="27" spans="3:8" x14ac:dyDescent="0.3">
      <c r="H27" s="102"/>
    </row>
    <row r="28" spans="3:8" x14ac:dyDescent="0.3">
      <c r="C28" s="99" t="s">
        <v>226</v>
      </c>
      <c r="D28" s="100"/>
      <c r="E28" s="100"/>
      <c r="F28" s="100"/>
      <c r="G28" s="100"/>
      <c r="H28" s="101" t="str">
        <f>IF(SUM(H14:H26)=0,"",SUM(H14:H26)*0.05)</f>
        <v/>
      </c>
    </row>
    <row r="31" spans="3:8" x14ac:dyDescent="0.3">
      <c r="F31" s="103" t="s">
        <v>61</v>
      </c>
      <c r="H31" s="102" t="str">
        <f>IF(SUM(H14:H28)=0,"",SUM(H14:H28))</f>
        <v/>
      </c>
    </row>
    <row r="32" spans="3:8" x14ac:dyDescent="0.3">
      <c r="F32" s="103"/>
      <c r="H32" s="102"/>
    </row>
    <row r="33" spans="2:8" x14ac:dyDescent="0.3">
      <c r="F33" s="103" t="s">
        <v>236</v>
      </c>
      <c r="H33" s="102" t="str">
        <f>IF(SUM(H31)=0,"",SUM(0.22*H31))</f>
        <v/>
      </c>
    </row>
    <row r="34" spans="2:8" x14ac:dyDescent="0.3">
      <c r="H34" s="102"/>
    </row>
    <row r="35" spans="2:8" x14ac:dyDescent="0.3">
      <c r="H35" s="104"/>
    </row>
    <row r="36" spans="2:8" x14ac:dyDescent="0.3">
      <c r="C36" s="105" t="s">
        <v>62</v>
      </c>
      <c r="D36" s="100"/>
      <c r="E36" s="100"/>
      <c r="F36" s="100"/>
      <c r="G36" s="100"/>
      <c r="H36" s="106" t="str">
        <f>IF(SUM(H31:H33)=0,"",SUM(H31:H33))</f>
        <v/>
      </c>
    </row>
    <row r="41" spans="2:8" ht="17.25" hidden="1" thickBot="1" x14ac:dyDescent="0.35">
      <c r="B41" s="141" t="s">
        <v>63</v>
      </c>
      <c r="C41" s="141"/>
      <c r="D41" s="141"/>
      <c r="E41" s="141"/>
      <c r="F41" s="107">
        <v>1</v>
      </c>
    </row>
  </sheetData>
  <sheetProtection algorithmName="SHA-512" hashValue="IIn4AvEfKCetlwwCgi+iK1MlYbfdhogC5O513NvQqTX+QzULRNSVqkJd+NCFtrOG/fpMM1FP0FDUs078fnuk4Q==" saltValue="VUExoUSRGZao54XSK3x/8w==" spinCount="100000" sheet="1" objects="1" scenario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67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6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67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68"/>
    </row>
    <row r="4" spans="1:9" ht="15.75" x14ac:dyDescent="0.2">
      <c r="B4" s="147" t="s">
        <v>0</v>
      </c>
      <c r="C4" s="147"/>
      <c r="D4" s="147"/>
      <c r="E4" s="147"/>
      <c r="F4" s="147"/>
      <c r="G4" s="147"/>
    </row>
    <row r="5" spans="1:9" ht="12.75" customHeight="1" x14ac:dyDescent="0.2">
      <c r="B5" s="91"/>
      <c r="C5" s="91"/>
      <c r="D5" s="91"/>
      <c r="E5" s="15" t="str">
        <f>IF(SUM(E8:E11)=0,0,"")</f>
        <v/>
      </c>
      <c r="F5" s="15"/>
      <c r="G5" s="15"/>
    </row>
    <row r="6" spans="1:9" ht="21.2" customHeight="1" x14ac:dyDescent="0.3">
      <c r="B6" s="148" t="s">
        <v>46</v>
      </c>
      <c r="C6" s="149"/>
      <c r="D6" s="149"/>
      <c r="E6" s="16" t="str">
        <f>IF(SUM(E8:E11)=0,0,"")</f>
        <v/>
      </c>
      <c r="F6" s="16"/>
      <c r="G6" s="17"/>
    </row>
    <row r="7" spans="1:9" x14ac:dyDescent="0.2">
      <c r="E7" s="15" t="str">
        <f>IF(SUM(E8:E11)=0,0,"")</f>
        <v/>
      </c>
      <c r="F7" s="15"/>
      <c r="G7" s="15"/>
    </row>
    <row r="8" spans="1:9" ht="38.25" x14ac:dyDescent="0.2">
      <c r="B8" s="18" t="s">
        <v>2</v>
      </c>
      <c r="C8" s="19" t="s">
        <v>1</v>
      </c>
      <c r="D8" s="20" t="s">
        <v>269</v>
      </c>
      <c r="E8" s="84">
        <v>0.4</v>
      </c>
      <c r="F8" s="108"/>
      <c r="G8" s="21" t="str">
        <f t="shared" ref="G8:G11" si="0">IF(F8="","",E8*F8)</f>
        <v/>
      </c>
      <c r="I8" s="70">
        <v>1410</v>
      </c>
    </row>
    <row r="9" spans="1:9" ht="38.25" x14ac:dyDescent="0.2">
      <c r="B9" s="18" t="s">
        <v>3</v>
      </c>
      <c r="C9" s="19" t="s">
        <v>1</v>
      </c>
      <c r="D9" s="20" t="s">
        <v>270</v>
      </c>
      <c r="E9" s="84">
        <f>+E8</f>
        <v>0.4</v>
      </c>
      <c r="F9" s="108"/>
      <c r="G9" s="21" t="str">
        <f t="shared" si="0"/>
        <v/>
      </c>
      <c r="I9" s="69">
        <v>0</v>
      </c>
    </row>
    <row r="10" spans="1:9" ht="38.25" x14ac:dyDescent="0.2">
      <c r="B10" s="18" t="s">
        <v>5</v>
      </c>
      <c r="C10" s="19" t="s">
        <v>4</v>
      </c>
      <c r="D10" s="20" t="s">
        <v>271</v>
      </c>
      <c r="E10" s="84">
        <v>41</v>
      </c>
      <c r="F10" s="108"/>
      <c r="G10" s="21" t="str">
        <f t="shared" si="0"/>
        <v/>
      </c>
      <c r="I10" s="70">
        <v>23</v>
      </c>
    </row>
    <row r="11" spans="1:9" ht="38.25" x14ac:dyDescent="0.2">
      <c r="B11" s="18" t="s">
        <v>6</v>
      </c>
      <c r="C11" s="19" t="s">
        <v>4</v>
      </c>
      <c r="D11" s="20" t="s">
        <v>316</v>
      </c>
      <c r="E11" s="84">
        <v>150</v>
      </c>
      <c r="F11" s="108"/>
      <c r="G11" s="21" t="str">
        <f t="shared" si="0"/>
        <v/>
      </c>
      <c r="I11" s="69">
        <v>0</v>
      </c>
    </row>
    <row r="12" spans="1:9" x14ac:dyDescent="0.2">
      <c r="E12" s="22" t="str">
        <f>IF(AND(E14=0,E27=0,E37=0,E56=0),0,"")</f>
        <v/>
      </c>
      <c r="G12" s="22"/>
    </row>
    <row r="13" spans="1:9" ht="21.2" customHeight="1" x14ac:dyDescent="0.3">
      <c r="B13" s="148" t="s">
        <v>47</v>
      </c>
      <c r="C13" s="149"/>
      <c r="D13" s="149"/>
      <c r="E13" s="16" t="str">
        <f>IF(AND(E14=0,E27=0,E37=0,E56=0),0,"")</f>
        <v/>
      </c>
      <c r="F13" s="16"/>
      <c r="G13" s="17"/>
    </row>
    <row r="14" spans="1:9" ht="21.2" customHeight="1" x14ac:dyDescent="0.25">
      <c r="B14" s="150" t="s">
        <v>48</v>
      </c>
      <c r="C14" s="150"/>
      <c r="D14" s="150"/>
      <c r="E14" s="23" t="str">
        <f>IF(SUM(E16:E25)=0,0,"")</f>
        <v/>
      </c>
      <c r="F14" s="23"/>
      <c r="G14" s="23"/>
    </row>
    <row r="15" spans="1:9" x14ac:dyDescent="0.2">
      <c r="E15" s="15" t="str">
        <f>IF(SUM(E16:E25)=0,0,"")</f>
        <v/>
      </c>
      <c r="F15" s="15"/>
      <c r="G15" s="15"/>
    </row>
    <row r="16" spans="1:9" ht="38.25" x14ac:dyDescent="0.2">
      <c r="B16" s="18" t="s">
        <v>8</v>
      </c>
      <c r="C16" s="19" t="s">
        <v>9</v>
      </c>
      <c r="D16" s="20" t="s">
        <v>65</v>
      </c>
      <c r="E16" s="84">
        <v>30</v>
      </c>
      <c r="F16" s="108"/>
      <c r="G16" s="21" t="str">
        <f>IF(F16="","",E16*F16)</f>
        <v/>
      </c>
      <c r="I16" s="71">
        <v>16</v>
      </c>
    </row>
    <row r="17" spans="2:9" ht="38.25" x14ac:dyDescent="0.2">
      <c r="B17" s="18" t="s">
        <v>10</v>
      </c>
      <c r="C17" s="19" t="s">
        <v>9</v>
      </c>
      <c r="D17" s="20" t="s">
        <v>66</v>
      </c>
      <c r="E17" s="84">
        <v>30</v>
      </c>
      <c r="F17" s="108"/>
      <c r="G17" s="21" t="str">
        <f t="shared" ref="G17:G25" si="1">IF(F17="","",E17*F17)</f>
        <v/>
      </c>
      <c r="I17" s="71">
        <v>14</v>
      </c>
    </row>
    <row r="18" spans="2:9" ht="38.25" x14ac:dyDescent="0.2">
      <c r="B18" s="18" t="s">
        <v>11</v>
      </c>
      <c r="C18" s="19" t="s">
        <v>9</v>
      </c>
      <c r="D18" s="20" t="s">
        <v>67</v>
      </c>
      <c r="E18" s="84">
        <v>30</v>
      </c>
      <c r="F18" s="108"/>
      <c r="G18" s="21" t="str">
        <f t="shared" si="1"/>
        <v/>
      </c>
      <c r="I18" s="72">
        <v>19</v>
      </c>
    </row>
    <row r="19" spans="2:9" ht="38.25" x14ac:dyDescent="0.2">
      <c r="B19" s="18" t="s">
        <v>12</v>
      </c>
      <c r="C19" s="19" t="s">
        <v>9</v>
      </c>
      <c r="D19" s="20" t="s">
        <v>68</v>
      </c>
      <c r="E19" s="84">
        <f>20+100+40</f>
        <v>160</v>
      </c>
      <c r="F19" s="108"/>
      <c r="G19" s="21" t="str">
        <f t="shared" si="1"/>
        <v/>
      </c>
      <c r="I19" s="72">
        <v>17</v>
      </c>
    </row>
    <row r="20" spans="2:9" ht="38.25" x14ac:dyDescent="0.2">
      <c r="B20" s="18" t="s">
        <v>13</v>
      </c>
      <c r="C20" s="19" t="s">
        <v>4</v>
      </c>
      <c r="D20" s="20" t="s">
        <v>69</v>
      </c>
      <c r="E20" s="84">
        <v>5</v>
      </c>
      <c r="F20" s="108"/>
      <c r="G20" s="21" t="str">
        <f t="shared" si="1"/>
        <v/>
      </c>
      <c r="I20" s="71">
        <v>45</v>
      </c>
    </row>
    <row r="21" spans="2:9" ht="38.25" x14ac:dyDescent="0.2">
      <c r="B21" s="18" t="s">
        <v>14</v>
      </c>
      <c r="C21" s="19" t="s">
        <v>4</v>
      </c>
      <c r="D21" s="20" t="s">
        <v>70</v>
      </c>
      <c r="E21" s="84">
        <v>12</v>
      </c>
      <c r="F21" s="108"/>
      <c r="G21" s="21" t="str">
        <f t="shared" si="1"/>
        <v/>
      </c>
      <c r="I21" s="73">
        <v>63</v>
      </c>
    </row>
    <row r="22" spans="2:9" ht="38.25" x14ac:dyDescent="0.2">
      <c r="B22" s="18" t="s">
        <v>15</v>
      </c>
      <c r="C22" s="19" t="s">
        <v>4</v>
      </c>
      <c r="D22" s="20" t="s">
        <v>283</v>
      </c>
      <c r="E22" s="84">
        <f>E20</f>
        <v>5</v>
      </c>
      <c r="F22" s="108"/>
      <c r="G22" s="21" t="str">
        <f t="shared" si="1"/>
        <v/>
      </c>
      <c r="I22" s="74">
        <v>60</v>
      </c>
    </row>
    <row r="23" spans="2:9" ht="38.25" x14ac:dyDescent="0.2">
      <c r="B23" s="18" t="s">
        <v>16</v>
      </c>
      <c r="C23" s="19" t="s">
        <v>4</v>
      </c>
      <c r="D23" s="20" t="s">
        <v>71</v>
      </c>
      <c r="E23" s="84">
        <f>E21</f>
        <v>12</v>
      </c>
      <c r="F23" s="108"/>
      <c r="G23" s="21" t="str">
        <f t="shared" si="1"/>
        <v/>
      </c>
      <c r="I23" s="75">
        <v>72</v>
      </c>
    </row>
    <row r="24" spans="2:9" ht="25.5" x14ac:dyDescent="0.2">
      <c r="B24" s="18" t="s">
        <v>17</v>
      </c>
      <c r="C24" s="19" t="s">
        <v>7</v>
      </c>
      <c r="D24" s="20" t="s">
        <v>265</v>
      </c>
      <c r="E24" s="84">
        <v>40</v>
      </c>
      <c r="F24" s="108"/>
      <c r="G24" s="21" t="str">
        <f t="shared" ref="G24" si="2">IF(F24="","",E24*F24)</f>
        <v/>
      </c>
      <c r="I24" s="76">
        <v>1</v>
      </c>
    </row>
    <row r="25" spans="2:9" ht="25.5" x14ac:dyDescent="0.2">
      <c r="B25" s="18" t="s">
        <v>272</v>
      </c>
      <c r="C25" s="19" t="s">
        <v>7</v>
      </c>
      <c r="D25" s="20" t="s">
        <v>273</v>
      </c>
      <c r="E25" s="84">
        <v>10</v>
      </c>
      <c r="F25" s="108"/>
      <c r="G25" s="21" t="str">
        <f t="shared" si="1"/>
        <v/>
      </c>
      <c r="I25" s="76">
        <v>1</v>
      </c>
    </row>
    <row r="26" spans="2:9" x14ac:dyDescent="0.2">
      <c r="E26" s="15" t="str">
        <f>IF(SUM(E29:E35)=0,0,"")</f>
        <v/>
      </c>
      <c r="F26" s="15"/>
      <c r="G26" s="15"/>
    </row>
    <row r="27" spans="2:9" ht="21.75" customHeight="1" x14ac:dyDescent="0.25">
      <c r="B27" s="151" t="s">
        <v>49</v>
      </c>
      <c r="C27" s="151"/>
      <c r="D27" s="151"/>
      <c r="E27" s="77" t="str">
        <f>IF(SUM(E29:E35)=0,0,"")</f>
        <v/>
      </c>
      <c r="F27" s="77"/>
      <c r="G27" s="77"/>
    </row>
    <row r="28" spans="2:9" x14ac:dyDescent="0.2">
      <c r="E28" s="15" t="str">
        <f>IF(SUM(E29:E35)=0,0,"")</f>
        <v/>
      </c>
      <c r="F28" s="15"/>
      <c r="G28" s="15"/>
    </row>
    <row r="29" spans="2:9" ht="25.5" x14ac:dyDescent="0.2">
      <c r="B29" s="18" t="s">
        <v>18</v>
      </c>
      <c r="C29" s="19" t="s">
        <v>4</v>
      </c>
      <c r="D29" s="20" t="s">
        <v>337</v>
      </c>
      <c r="E29" s="84">
        <v>9</v>
      </c>
      <c r="F29" s="108"/>
      <c r="G29" s="21" t="str">
        <f>IF(F29="","",E29*F29)</f>
        <v/>
      </c>
      <c r="I29" s="78">
        <v>16</v>
      </c>
    </row>
    <row r="30" spans="2:9" ht="25.5" x14ac:dyDescent="0.2">
      <c r="B30" s="18" t="s">
        <v>19</v>
      </c>
      <c r="C30" s="19" t="s">
        <v>4</v>
      </c>
      <c r="D30" s="20" t="s">
        <v>362</v>
      </c>
      <c r="E30" s="84">
        <v>3</v>
      </c>
      <c r="F30" s="108"/>
      <c r="G30" s="21" t="str">
        <f t="shared" ref="G30:G35" si="3">IF(F30="","",E30*F30)</f>
        <v/>
      </c>
      <c r="I30" s="80">
        <v>22</v>
      </c>
    </row>
    <row r="31" spans="2:9" ht="25.5" x14ac:dyDescent="0.2">
      <c r="B31" s="18" t="s">
        <v>20</v>
      </c>
      <c r="C31" s="19" t="s">
        <v>21</v>
      </c>
      <c r="D31" s="20" t="s">
        <v>274</v>
      </c>
      <c r="E31" s="84">
        <v>30</v>
      </c>
      <c r="F31" s="108"/>
      <c r="G31" s="21" t="str">
        <f t="shared" si="3"/>
        <v/>
      </c>
      <c r="I31" s="78">
        <v>42</v>
      </c>
    </row>
    <row r="32" spans="2:9" ht="25.5" x14ac:dyDescent="0.2">
      <c r="B32" s="18" t="s">
        <v>22</v>
      </c>
      <c r="C32" s="19" t="s">
        <v>9</v>
      </c>
      <c r="D32" s="20" t="s">
        <v>276</v>
      </c>
      <c r="E32" s="84">
        <f>17*1.3</f>
        <v>22.1</v>
      </c>
      <c r="F32" s="108"/>
      <c r="G32" s="21" t="str">
        <f t="shared" si="3"/>
        <v/>
      </c>
      <c r="I32" s="82">
        <v>10</v>
      </c>
    </row>
    <row r="33" spans="2:9" ht="25.5" x14ac:dyDescent="0.2">
      <c r="B33" s="18" t="s">
        <v>23</v>
      </c>
      <c r="C33" s="19" t="s">
        <v>24</v>
      </c>
      <c r="D33" s="20" t="s">
        <v>277</v>
      </c>
      <c r="E33" s="84">
        <f>1.8*35</f>
        <v>63</v>
      </c>
      <c r="F33" s="108"/>
      <c r="G33" s="21" t="str">
        <f t="shared" si="3"/>
        <v/>
      </c>
      <c r="I33" s="82">
        <v>7</v>
      </c>
    </row>
    <row r="34" spans="2:9" ht="25.5" x14ac:dyDescent="0.2">
      <c r="B34" s="18" t="s">
        <v>25</v>
      </c>
      <c r="C34" s="19" t="s">
        <v>21</v>
      </c>
      <c r="D34" s="20" t="s">
        <v>275</v>
      </c>
      <c r="E34" s="84">
        <f>20+32</f>
        <v>52</v>
      </c>
      <c r="F34" s="108"/>
      <c r="G34" s="21" t="str">
        <f t="shared" ref="G34" si="4">IF(F34="","",E34*F34)</f>
        <v/>
      </c>
      <c r="I34" s="81">
        <v>0</v>
      </c>
    </row>
    <row r="35" spans="2:9" ht="25.5" x14ac:dyDescent="0.2">
      <c r="B35" s="18" t="s">
        <v>239</v>
      </c>
      <c r="C35" s="19" t="s">
        <v>4</v>
      </c>
      <c r="D35" s="20" t="s">
        <v>240</v>
      </c>
      <c r="E35" s="84">
        <v>8</v>
      </c>
      <c r="F35" s="108"/>
      <c r="G35" s="21" t="str">
        <f t="shared" si="3"/>
        <v/>
      </c>
      <c r="I35" s="81">
        <v>0</v>
      </c>
    </row>
    <row r="36" spans="2:9" x14ac:dyDescent="0.2">
      <c r="E36" s="24" t="str">
        <f>IF(SUM(E39:E54)=0,0,"")</f>
        <v/>
      </c>
      <c r="F36" s="24"/>
      <c r="G36" s="24"/>
    </row>
    <row r="37" spans="2:9" ht="21.2" customHeight="1" x14ac:dyDescent="0.2">
      <c r="B37" s="151" t="s">
        <v>50</v>
      </c>
      <c r="C37" s="151"/>
      <c r="D37" s="151"/>
      <c r="E37" s="25" t="str">
        <f>IF(SUM(E39:E54)=0,0,"")</f>
        <v/>
      </c>
      <c r="F37" s="25"/>
      <c r="G37" s="25"/>
    </row>
    <row r="38" spans="2:9" x14ac:dyDescent="0.2">
      <c r="E38" s="24" t="str">
        <f>IF(SUM(E39:E54)=0,0,"")</f>
        <v/>
      </c>
      <c r="F38" s="24"/>
      <c r="G38" s="24"/>
    </row>
    <row r="39" spans="2:9" ht="38.25" x14ac:dyDescent="0.2">
      <c r="B39" s="18" t="s">
        <v>26</v>
      </c>
      <c r="C39" s="19" t="s">
        <v>24</v>
      </c>
      <c r="D39" s="20" t="s">
        <v>72</v>
      </c>
      <c r="E39" s="84">
        <f>50*0.2</f>
        <v>10</v>
      </c>
      <c r="F39" s="108"/>
      <c r="G39" s="21" t="str">
        <f>IF(F39="","",E39*F39)</f>
        <v/>
      </c>
      <c r="I39" s="71">
        <v>22</v>
      </c>
    </row>
    <row r="40" spans="2:9" ht="38.25" x14ac:dyDescent="0.2">
      <c r="B40" s="18" t="s">
        <v>27</v>
      </c>
      <c r="C40" s="19" t="s">
        <v>9</v>
      </c>
      <c r="D40" s="20" t="s">
        <v>281</v>
      </c>
      <c r="E40" s="84">
        <v>750</v>
      </c>
      <c r="F40" s="108"/>
      <c r="G40" s="21" t="str">
        <f t="shared" ref="G40:G54" si="5">IF(F40="","",E40*F40)</f>
        <v/>
      </c>
      <c r="I40" s="73">
        <v>3</v>
      </c>
    </row>
    <row r="41" spans="2:9" ht="38.25" x14ac:dyDescent="0.2">
      <c r="B41" s="18" t="s">
        <v>28</v>
      </c>
      <c r="C41" s="19" t="s">
        <v>9</v>
      </c>
      <c r="D41" s="20" t="s">
        <v>345</v>
      </c>
      <c r="E41" s="90">
        <f>185+20+5+10+85</f>
        <v>305</v>
      </c>
      <c r="F41" s="108"/>
      <c r="G41" s="21" t="str">
        <f t="shared" si="5"/>
        <v/>
      </c>
      <c r="I41" s="71">
        <v>5</v>
      </c>
    </row>
    <row r="42" spans="2:9" ht="38.25" x14ac:dyDescent="0.2">
      <c r="B42" s="18" t="s">
        <v>29</v>
      </c>
      <c r="C42" s="19" t="s">
        <v>9</v>
      </c>
      <c r="D42" s="20" t="s">
        <v>282</v>
      </c>
      <c r="E42" s="90">
        <v>3000</v>
      </c>
      <c r="F42" s="108"/>
      <c r="G42" s="21" t="str">
        <f t="shared" si="5"/>
        <v/>
      </c>
      <c r="I42" s="71">
        <v>7</v>
      </c>
    </row>
    <row r="43" spans="2:9" ht="38.25" x14ac:dyDescent="0.2">
      <c r="B43" s="18" t="s">
        <v>30</v>
      </c>
      <c r="C43" s="19" t="s">
        <v>24</v>
      </c>
      <c r="D43" s="20" t="s">
        <v>338</v>
      </c>
      <c r="E43" s="84">
        <f>12*0.25</f>
        <v>3</v>
      </c>
      <c r="F43" s="108"/>
      <c r="G43" s="21" t="str">
        <f t="shared" si="5"/>
        <v/>
      </c>
      <c r="I43" s="72">
        <v>55</v>
      </c>
    </row>
    <row r="44" spans="2:9" ht="38.25" x14ac:dyDescent="0.2">
      <c r="B44" s="18" t="s">
        <v>31</v>
      </c>
      <c r="C44" s="19" t="s">
        <v>9</v>
      </c>
      <c r="D44" s="20" t="s">
        <v>73</v>
      </c>
      <c r="E44" s="84">
        <f>25+15</f>
        <v>40</v>
      </c>
      <c r="F44" s="108"/>
      <c r="G44" s="21" t="str">
        <f t="shared" si="5"/>
        <v/>
      </c>
      <c r="I44" s="83">
        <v>0</v>
      </c>
    </row>
    <row r="45" spans="2:9" ht="38.25" x14ac:dyDescent="0.2">
      <c r="B45" s="18" t="s">
        <v>32</v>
      </c>
      <c r="C45" s="19" t="s">
        <v>9</v>
      </c>
      <c r="D45" s="20" t="s">
        <v>342</v>
      </c>
      <c r="E45" s="84">
        <f>E48*0.25</f>
        <v>5.75</v>
      </c>
      <c r="F45" s="108"/>
      <c r="G45" s="21" t="str">
        <f t="shared" si="5"/>
        <v/>
      </c>
      <c r="I45" s="83">
        <v>0</v>
      </c>
    </row>
    <row r="46" spans="2:9" ht="38.25" x14ac:dyDescent="0.2">
      <c r="B46" s="18" t="s">
        <v>33</v>
      </c>
      <c r="C46" s="19" t="s">
        <v>9</v>
      </c>
      <c r="D46" s="20" t="s">
        <v>343</v>
      </c>
      <c r="E46" s="84">
        <f>E49*0.5</f>
        <v>27</v>
      </c>
      <c r="F46" s="108"/>
      <c r="G46" s="21" t="str">
        <f t="shared" si="5"/>
        <v/>
      </c>
      <c r="I46" s="83">
        <v>0</v>
      </c>
    </row>
    <row r="47" spans="2:9" ht="38.25" x14ac:dyDescent="0.2">
      <c r="B47" s="18" t="s">
        <v>34</v>
      </c>
      <c r="C47" s="19" t="s">
        <v>9</v>
      </c>
      <c r="D47" s="20" t="s">
        <v>344</v>
      </c>
      <c r="E47" s="84">
        <f>E50*0.5</f>
        <v>50.5</v>
      </c>
      <c r="F47" s="108"/>
      <c r="G47" s="21" t="str">
        <f t="shared" si="5"/>
        <v/>
      </c>
      <c r="I47" s="83">
        <v>0</v>
      </c>
    </row>
    <row r="48" spans="2:9" ht="38.25" x14ac:dyDescent="0.2">
      <c r="B48" s="18" t="s">
        <v>35</v>
      </c>
      <c r="C48" s="19" t="s">
        <v>21</v>
      </c>
      <c r="D48" s="20" t="s">
        <v>341</v>
      </c>
      <c r="E48" s="84">
        <f>2+17+2+2</f>
        <v>23</v>
      </c>
      <c r="F48" s="108"/>
      <c r="G48" s="21" t="str">
        <f t="shared" si="5"/>
        <v/>
      </c>
      <c r="I48" s="71">
        <v>1</v>
      </c>
    </row>
    <row r="49" spans="2:9" ht="38.25" x14ac:dyDescent="0.2">
      <c r="B49" s="18" t="s">
        <v>36</v>
      </c>
      <c r="C49" s="19" t="s">
        <v>21</v>
      </c>
      <c r="D49" s="20" t="s">
        <v>340</v>
      </c>
      <c r="E49" s="84">
        <f>7+20+3+6+2+5+5+6</f>
        <v>54</v>
      </c>
      <c r="F49" s="108"/>
      <c r="G49" s="21" t="str">
        <f t="shared" si="5"/>
        <v/>
      </c>
      <c r="I49" s="71">
        <v>1.1000000000000001</v>
      </c>
    </row>
    <row r="50" spans="2:9" ht="38.25" x14ac:dyDescent="0.2">
      <c r="B50" s="18" t="s">
        <v>37</v>
      </c>
      <c r="C50" s="19" t="s">
        <v>21</v>
      </c>
      <c r="D50" s="20" t="s">
        <v>339</v>
      </c>
      <c r="E50" s="90">
        <f>7+9+85</f>
        <v>101</v>
      </c>
      <c r="F50" s="108"/>
      <c r="G50" s="21" t="str">
        <f t="shared" si="5"/>
        <v/>
      </c>
      <c r="I50" s="71">
        <v>1.2</v>
      </c>
    </row>
    <row r="51" spans="2:9" ht="25.5" x14ac:dyDescent="0.2">
      <c r="B51" s="18" t="s">
        <v>38</v>
      </c>
      <c r="C51" s="19" t="s">
        <v>21</v>
      </c>
      <c r="D51" s="20" t="s">
        <v>74</v>
      </c>
      <c r="E51" s="84">
        <f>190+75+65+220+50</f>
        <v>600</v>
      </c>
      <c r="F51" s="108"/>
      <c r="G51" s="21" t="str">
        <f t="shared" si="5"/>
        <v/>
      </c>
      <c r="I51" s="72">
        <v>14</v>
      </c>
    </row>
    <row r="52" spans="2:9" ht="25.5" x14ac:dyDescent="0.2">
      <c r="B52" s="18" t="s">
        <v>39</v>
      </c>
      <c r="C52" s="19" t="s">
        <v>21</v>
      </c>
      <c r="D52" s="20" t="s">
        <v>266</v>
      </c>
      <c r="E52" s="90">
        <f>15+18</f>
        <v>33</v>
      </c>
      <c r="F52" s="108"/>
      <c r="G52" s="21" t="str">
        <f t="shared" si="5"/>
        <v/>
      </c>
      <c r="I52" s="72">
        <v>14</v>
      </c>
    </row>
    <row r="53" spans="2:9" ht="25.5" x14ac:dyDescent="0.2">
      <c r="B53" s="18" t="s">
        <v>40</v>
      </c>
      <c r="C53" s="19" t="s">
        <v>21</v>
      </c>
      <c r="D53" s="20" t="s">
        <v>267</v>
      </c>
      <c r="E53" s="90">
        <f>30+75+85+40</f>
        <v>230</v>
      </c>
      <c r="F53" s="108"/>
      <c r="G53" s="21" t="str">
        <f t="shared" si="5"/>
        <v/>
      </c>
      <c r="I53" s="72">
        <v>14</v>
      </c>
    </row>
    <row r="54" spans="2:9" ht="25.5" x14ac:dyDescent="0.2">
      <c r="B54" s="18" t="s">
        <v>41</v>
      </c>
      <c r="C54" s="19" t="s">
        <v>21</v>
      </c>
      <c r="D54" s="20" t="s">
        <v>268</v>
      </c>
      <c r="E54" s="90">
        <v>20</v>
      </c>
      <c r="F54" s="108"/>
      <c r="G54" s="21" t="str">
        <f t="shared" si="5"/>
        <v/>
      </c>
      <c r="I54" s="72">
        <v>14</v>
      </c>
    </row>
    <row r="55" spans="2:9" x14ac:dyDescent="0.2">
      <c r="E55" s="24" t="str">
        <f>IF(SUM(E58:E59)=0,0,"")</f>
        <v/>
      </c>
      <c r="F55" s="24"/>
      <c r="G55" s="24"/>
    </row>
    <row r="56" spans="2:9" ht="21.2" customHeight="1" x14ac:dyDescent="0.2">
      <c r="B56" s="151" t="s">
        <v>51</v>
      </c>
      <c r="C56" s="151"/>
      <c r="D56" s="151"/>
      <c r="E56" s="25" t="str">
        <f>IF(SUM(E58:E59)=0,0,"")</f>
        <v/>
      </c>
      <c r="F56" s="25"/>
      <c r="G56" s="25"/>
    </row>
    <row r="57" spans="2:9" x14ac:dyDescent="0.2">
      <c r="E57" s="24" t="str">
        <f>IF(SUM(E58:E59)=0,0,"")</f>
        <v/>
      </c>
      <c r="F57" s="24"/>
      <c r="G57" s="24"/>
    </row>
    <row r="58" spans="2:9" ht="38.25" x14ac:dyDescent="0.2">
      <c r="B58" s="18" t="s">
        <v>42</v>
      </c>
      <c r="C58" s="19" t="s">
        <v>21</v>
      </c>
      <c r="D58" s="20" t="s">
        <v>346</v>
      </c>
      <c r="E58" s="84">
        <f>E59*7</f>
        <v>175</v>
      </c>
      <c r="F58" s="108"/>
      <c r="G58" s="21" t="str">
        <f t="shared" ref="G58:G59" si="6">IF(F58="","",E58*F58)</f>
        <v/>
      </c>
      <c r="I58" s="85">
        <v>15.4</v>
      </c>
    </row>
    <row r="59" spans="2:9" ht="38.25" x14ac:dyDescent="0.2">
      <c r="B59" s="18" t="s">
        <v>43</v>
      </c>
      <c r="C59" s="19" t="s">
        <v>21</v>
      </c>
      <c r="D59" s="20" t="s">
        <v>347</v>
      </c>
      <c r="E59" s="84">
        <v>25</v>
      </c>
      <c r="F59" s="108"/>
      <c r="G59" s="21" t="str">
        <f t="shared" si="6"/>
        <v/>
      </c>
      <c r="I59" s="79">
        <v>14</v>
      </c>
    </row>
    <row r="60" spans="2:9" x14ac:dyDescent="0.2">
      <c r="E60" s="22"/>
      <c r="F60" s="22"/>
      <c r="G60" s="22"/>
    </row>
    <row r="61" spans="2:9" ht="21.2" customHeight="1" x14ac:dyDescent="0.3">
      <c r="B61" s="148" t="s">
        <v>52</v>
      </c>
      <c r="C61" s="149"/>
      <c r="D61" s="149"/>
      <c r="E61" s="16"/>
      <c r="F61" s="16"/>
      <c r="G61" s="17"/>
    </row>
    <row r="62" spans="2:9" ht="20.25" customHeight="1" x14ac:dyDescent="0.25">
      <c r="B62" s="150" t="s">
        <v>53</v>
      </c>
      <c r="C62" s="150"/>
      <c r="D62" s="150"/>
      <c r="E62" s="23" t="str">
        <f>IF(SUM(E64:E64)=0,0,"")</f>
        <v/>
      </c>
      <c r="F62" s="23"/>
      <c r="G62" s="23"/>
    </row>
    <row r="63" spans="2:9" x14ac:dyDescent="0.2">
      <c r="E63" s="15" t="str">
        <f>IF(SUM(E64:E64)=0,0,"")</f>
        <v/>
      </c>
      <c r="F63" s="15"/>
      <c r="G63" s="15"/>
    </row>
    <row r="64" spans="2:9" ht="25.5" x14ac:dyDescent="0.2">
      <c r="B64" s="18" t="s">
        <v>45</v>
      </c>
      <c r="C64" s="19" t="s">
        <v>44</v>
      </c>
      <c r="D64" s="20" t="s">
        <v>255</v>
      </c>
      <c r="E64" s="84">
        <v>45</v>
      </c>
      <c r="F64" s="108"/>
      <c r="G64" s="21" t="str">
        <f t="shared" ref="G64:G65" si="7">IF(F64="","",E64*F64)</f>
        <v/>
      </c>
      <c r="I64" s="76">
        <v>0</v>
      </c>
    </row>
    <row r="65" spans="2:9" ht="25.5" x14ac:dyDescent="0.2">
      <c r="B65" s="18" t="s">
        <v>233</v>
      </c>
      <c r="C65" s="19" t="s">
        <v>4</v>
      </c>
      <c r="D65" s="20" t="s">
        <v>234</v>
      </c>
      <c r="E65" s="84">
        <v>1</v>
      </c>
      <c r="F65" s="108"/>
      <c r="G65" s="21" t="str">
        <f t="shared" si="7"/>
        <v/>
      </c>
      <c r="I65" s="6"/>
    </row>
    <row r="66" spans="2:9" ht="13.5" thickBot="1" x14ac:dyDescent="0.25"/>
    <row r="67" spans="2:9" ht="16.5" thickBot="1" x14ac:dyDescent="0.25">
      <c r="D67" s="26" t="s">
        <v>75</v>
      </c>
      <c r="E67" s="27"/>
      <c r="F67" s="145" t="str">
        <f>IF(SUM(G8:G65)=0,"",SUM(G8:G65))</f>
        <v/>
      </c>
      <c r="G67" s="146"/>
    </row>
  </sheetData>
  <sheetProtection algorithmName="SHA-512" hashValue="jnjzoK7646H/5865YaXP0qm4w0RKoa4GXHPXeOHu8QWe+9Z4ZkhLlkRyvvU5/Vx/tyLra2fUfH+DywCh6yOqTg==" saltValue="q2t5hcb173Qm7v6aWWUa2w==" spinCount="100000" sheet="1" objects="1" scenarios="1"/>
  <autoFilter ref="E1:G67">
    <filterColumn colId="0">
      <filters blank="1">
        <filter val="0,40"/>
        <filter val="1,00"/>
        <filter val="10,00"/>
        <filter val="101,00"/>
        <filter val="12,00"/>
        <filter val="120,00"/>
        <filter val="15,00"/>
        <filter val="160,00"/>
        <filter val="20,00"/>
        <filter val="22,10"/>
        <filter val="23,00"/>
        <filter val="230,00"/>
        <filter val="27,00"/>
        <filter val="3,00"/>
        <filter val="30,00"/>
        <filter val="33,00"/>
        <filter val="4,00"/>
        <filter val="40,00"/>
        <filter val="41,00"/>
        <filter val="5,75"/>
        <filter val="50,50"/>
        <filter val="52,00"/>
        <filter val="54,00"/>
        <filter val="600,00"/>
        <filter val="63,00"/>
        <filter val="8,00"/>
        <filter val="9,00"/>
        <filter val="količina"/>
      </filters>
    </filterColumn>
  </autoFilter>
  <dataConsolidate/>
  <mergeCells count="10">
    <mergeCell ref="F67:G67"/>
    <mergeCell ref="B4:G4"/>
    <mergeCell ref="B6:D6"/>
    <mergeCell ref="B13:D13"/>
    <mergeCell ref="B14:D14"/>
    <mergeCell ref="B27:D27"/>
    <mergeCell ref="B37:D37"/>
    <mergeCell ref="B56:D56"/>
    <mergeCell ref="B61:D61"/>
    <mergeCell ref="B62:D6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26" max="16383" man="1"/>
    <brk id="47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2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28" hidden="1" customWidth="1"/>
    <col min="9" max="9" width="8.71093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32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H3" s="29"/>
      <c r="I3" s="33"/>
    </row>
    <row r="4" spans="1:9" ht="15.75" x14ac:dyDescent="0.2">
      <c r="B4" s="147" t="s">
        <v>76</v>
      </c>
      <c r="C4" s="147"/>
      <c r="D4" s="147"/>
      <c r="E4" s="147"/>
      <c r="F4" s="147"/>
      <c r="G4" s="147"/>
    </row>
    <row r="5" spans="1:9" ht="12.75" customHeight="1" x14ac:dyDescent="0.2">
      <c r="B5" s="91"/>
      <c r="C5" s="91"/>
      <c r="D5" s="91"/>
      <c r="E5" s="15"/>
      <c r="F5" s="15"/>
      <c r="G5" s="15"/>
    </row>
    <row r="6" spans="1:9" ht="21.2" customHeight="1" x14ac:dyDescent="0.3">
      <c r="B6" s="148" t="s">
        <v>102</v>
      </c>
      <c r="C6" s="149"/>
      <c r="D6" s="149"/>
      <c r="E6" s="16"/>
      <c r="F6" s="16"/>
      <c r="G6" s="17"/>
    </row>
    <row r="7" spans="1:9" x14ac:dyDescent="0.2">
      <c r="E7" s="15"/>
      <c r="F7" s="15"/>
      <c r="G7" s="15"/>
    </row>
    <row r="8" spans="1:9" ht="38.25" x14ac:dyDescent="0.2">
      <c r="B8" s="18" t="s">
        <v>77</v>
      </c>
      <c r="C8" s="19" t="s">
        <v>24</v>
      </c>
      <c r="D8" s="20" t="s">
        <v>97</v>
      </c>
      <c r="E8" s="84">
        <f>(200+150)*0.25</f>
        <v>87.5</v>
      </c>
      <c r="F8" s="108"/>
      <c r="G8" s="21" t="str">
        <f t="shared" ref="G8:G11" si="0">IF(F8="","",E8*F8)</f>
        <v/>
      </c>
      <c r="I8" s="61">
        <v>5.28</v>
      </c>
    </row>
    <row r="9" spans="1:9" ht="25.5" x14ac:dyDescent="0.2">
      <c r="B9" s="18" t="s">
        <v>79</v>
      </c>
      <c r="C9" s="19" t="s">
        <v>24</v>
      </c>
      <c r="D9" s="20" t="s">
        <v>358</v>
      </c>
      <c r="E9" s="84">
        <f>(('3. VOZIŠČNE KONSTRUKCIJE'!E25)*0.56)+('3. VOZIŠČNE KONSTRUKCIJE'!E26)*0.88</f>
        <v>3210.3999999999996</v>
      </c>
      <c r="F9" s="108"/>
      <c r="G9" s="21" t="str">
        <f t="shared" si="0"/>
        <v/>
      </c>
      <c r="I9" s="63">
        <v>5.28</v>
      </c>
    </row>
    <row r="10" spans="1:9" ht="51" x14ac:dyDescent="0.2">
      <c r="B10" s="18" t="s">
        <v>80</v>
      </c>
      <c r="C10" s="19" t="s">
        <v>24</v>
      </c>
      <c r="D10" s="20" t="s">
        <v>98</v>
      </c>
      <c r="E10" s="84">
        <f>+('4. ODVODNJAVANJE'!E14*0.3)</f>
        <v>60</v>
      </c>
      <c r="F10" s="108"/>
      <c r="G10" s="21" t="str">
        <f t="shared" si="0"/>
        <v/>
      </c>
      <c r="I10" s="62">
        <v>8.8000000000000007</v>
      </c>
    </row>
    <row r="11" spans="1:9" ht="51" x14ac:dyDescent="0.2">
      <c r="B11" s="18" t="s">
        <v>81</v>
      </c>
      <c r="C11" s="19" t="s">
        <v>24</v>
      </c>
      <c r="D11" s="20" t="s">
        <v>99</v>
      </c>
      <c r="E11" s="84">
        <f>+('4. ODVODNJAVANJE'!E25*4)</f>
        <v>184</v>
      </c>
      <c r="F11" s="108"/>
      <c r="G11" s="21" t="str">
        <f t="shared" si="0"/>
        <v/>
      </c>
      <c r="I11" s="64">
        <v>11.33</v>
      </c>
    </row>
    <row r="12" spans="1:9" x14ac:dyDescent="0.2">
      <c r="E12" s="15"/>
      <c r="F12" s="15"/>
      <c r="G12" s="15"/>
    </row>
    <row r="13" spans="1:9" ht="21.2" customHeight="1" x14ac:dyDescent="0.3">
      <c r="B13" s="148" t="s">
        <v>78</v>
      </c>
      <c r="C13" s="149"/>
      <c r="D13" s="149"/>
      <c r="E13" s="16"/>
      <c r="F13" s="16"/>
      <c r="G13" s="17"/>
    </row>
    <row r="14" spans="1:9" x14ac:dyDescent="0.2">
      <c r="E14" s="15"/>
      <c r="F14" s="15"/>
      <c r="G14" s="15"/>
    </row>
    <row r="15" spans="1:9" ht="38.25" x14ac:dyDescent="0.2">
      <c r="B15" s="18" t="s">
        <v>82</v>
      </c>
      <c r="C15" s="19" t="s">
        <v>9</v>
      </c>
      <c r="D15" s="20" t="s">
        <v>302</v>
      </c>
      <c r="E15" s="84">
        <v>20</v>
      </c>
      <c r="F15" s="108"/>
      <c r="G15" s="21" t="str">
        <f>IF(F15="","",E15*F15)</f>
        <v/>
      </c>
      <c r="I15" s="57">
        <v>0</v>
      </c>
    </row>
    <row r="16" spans="1:9" ht="25.5" x14ac:dyDescent="0.2">
      <c r="B16" s="18" t="s">
        <v>83</v>
      </c>
      <c r="C16" s="19" t="s">
        <v>9</v>
      </c>
      <c r="D16" s="109" t="s">
        <v>100</v>
      </c>
      <c r="E16" s="84">
        <f>('3. VOZIŠČNE KONSTRUKCIJE'!E15+'3. VOZIŠČNE KONSTRUKCIJE'!E16+'3. VOZIŠČNE KONSTRUKCIJE'!E25)*0.98</f>
        <v>3831.7999999999997</v>
      </c>
      <c r="F16" s="108"/>
      <c r="G16" s="21" t="str">
        <f t="shared" ref="G16:G17" si="1">IF(F16="","",E16*F16)</f>
        <v/>
      </c>
      <c r="I16" s="57">
        <v>2</v>
      </c>
    </row>
    <row r="17" spans="1:9" ht="25.5" x14ac:dyDescent="0.2">
      <c r="B17" s="18" t="s">
        <v>237</v>
      </c>
      <c r="C17" s="19" t="s">
        <v>9</v>
      </c>
      <c r="D17" s="109" t="s">
        <v>256</v>
      </c>
      <c r="E17" s="84">
        <f>('3. VOZIŠČNE KONSTRUKCIJE'!E15+'3. VOZIŠČNE KONSTRUKCIJE'!E16+'3. VOZIŠČNE KONSTRUKCIJE'!E25)*1.1</f>
        <v>4301</v>
      </c>
      <c r="F17" s="108"/>
      <c r="G17" s="21" t="str">
        <f t="shared" si="1"/>
        <v/>
      </c>
      <c r="I17" s="28"/>
    </row>
    <row r="18" spans="1:9" x14ac:dyDescent="0.2">
      <c r="E18" s="15" t="str">
        <f>IF(SUM(E21:E21)=0,0,"")</f>
        <v/>
      </c>
      <c r="F18" s="15"/>
      <c r="G18" s="15"/>
    </row>
    <row r="19" spans="1:9" ht="21.2" customHeight="1" x14ac:dyDescent="0.3">
      <c r="B19" s="148" t="s">
        <v>103</v>
      </c>
      <c r="C19" s="149"/>
      <c r="D19" s="149"/>
      <c r="E19" s="16" t="str">
        <f>IF(SUM(E21:E21)=0,0,"")</f>
        <v/>
      </c>
      <c r="F19" s="16"/>
      <c r="G19" s="17"/>
    </row>
    <row r="20" spans="1:9" x14ac:dyDescent="0.2">
      <c r="E20" s="15" t="str">
        <f>IF(SUM(E21:E21)=0,0,"")</f>
        <v/>
      </c>
      <c r="F20" s="15"/>
      <c r="G20" s="15"/>
    </row>
    <row r="21" spans="1:9" s="118" customFormat="1" ht="38.25" x14ac:dyDescent="0.2">
      <c r="A21" s="110"/>
      <c r="B21" s="111" t="s">
        <v>84</v>
      </c>
      <c r="C21" s="112" t="s">
        <v>9</v>
      </c>
      <c r="D21" s="109" t="s">
        <v>101</v>
      </c>
      <c r="E21" s="84">
        <f>('3. VOZIŠČNE KONSTRUKCIJE'!E15+'3. VOZIŠČNE KONSTRUKCIJE'!E16+'3. VOZIŠČNE KONSTRUKCIJE'!E25)*1.5</f>
        <v>5865</v>
      </c>
      <c r="F21" s="119"/>
      <c r="G21" s="84" t="str">
        <f t="shared" ref="G21" si="2">IF(F21="","",E21*F21)</f>
        <v/>
      </c>
      <c r="H21" s="30"/>
      <c r="I21" s="89">
        <v>0</v>
      </c>
    </row>
    <row r="22" spans="1:9" x14ac:dyDescent="0.2">
      <c r="E22" s="113"/>
      <c r="F22" s="15"/>
      <c r="G22" s="15"/>
    </row>
    <row r="23" spans="1:9" ht="21.2" customHeight="1" x14ac:dyDescent="0.3">
      <c r="B23" s="148" t="s">
        <v>104</v>
      </c>
      <c r="C23" s="149"/>
      <c r="D23" s="149"/>
      <c r="E23" s="16"/>
      <c r="F23" s="16"/>
      <c r="G23" s="17"/>
    </row>
    <row r="24" spans="1:9" x14ac:dyDescent="0.2">
      <c r="E24" s="15"/>
      <c r="F24" s="15"/>
      <c r="G24" s="15"/>
    </row>
    <row r="25" spans="1:9" ht="89.25" x14ac:dyDescent="0.2">
      <c r="B25" s="18" t="s">
        <v>85</v>
      </c>
      <c r="C25" s="19" t="s">
        <v>24</v>
      </c>
      <c r="D25" s="20" t="s">
        <v>321</v>
      </c>
      <c r="E25" s="84">
        <f>(E10+E11)*0.8</f>
        <v>195.20000000000002</v>
      </c>
      <c r="F25" s="108"/>
      <c r="G25" s="21" t="str">
        <f t="shared" ref="G25" si="3">IF(F25="","",E25*F25)</f>
        <v/>
      </c>
      <c r="I25" s="65">
        <v>18</v>
      </c>
    </row>
    <row r="26" spans="1:9" ht="38.25" x14ac:dyDescent="0.2">
      <c r="B26" s="18" t="s">
        <v>86</v>
      </c>
      <c r="C26" s="19" t="s">
        <v>24</v>
      </c>
      <c r="D26" s="20" t="s">
        <v>286</v>
      </c>
      <c r="E26" s="84">
        <f>'3. VOZIŠČNE KONSTRUKCIJE'!E25*0.32</f>
        <v>230.4</v>
      </c>
      <c r="F26" s="108"/>
      <c r="G26" s="21" t="str">
        <f t="shared" ref="G26:G27" si="4">IF(F26="","",E26*F26)</f>
        <v/>
      </c>
      <c r="I26" s="51">
        <v>0</v>
      </c>
    </row>
    <row r="27" spans="1:9" ht="38.25" x14ac:dyDescent="0.2">
      <c r="B27" s="18" t="s">
        <v>87</v>
      </c>
      <c r="C27" s="19" t="s">
        <v>24</v>
      </c>
      <c r="D27" s="20" t="s">
        <v>285</v>
      </c>
      <c r="E27" s="84">
        <f>'3. VOZIŠČNE KONSTRUKCIJE'!E26*0.42</f>
        <v>1339.8</v>
      </c>
      <c r="F27" s="108"/>
      <c r="G27" s="21" t="str">
        <f t="shared" si="4"/>
        <v/>
      </c>
      <c r="I27" s="51">
        <v>0</v>
      </c>
    </row>
    <row r="28" spans="1:9" x14ac:dyDescent="0.2">
      <c r="E28" s="15" t="str">
        <f>IF(SUM(E31:E32)=0,0,"")</f>
        <v/>
      </c>
      <c r="F28" s="15"/>
      <c r="G28" s="15"/>
    </row>
    <row r="29" spans="1:9" ht="21.2" customHeight="1" x14ac:dyDescent="0.3">
      <c r="B29" s="148" t="s">
        <v>105</v>
      </c>
      <c r="C29" s="149"/>
      <c r="D29" s="149"/>
      <c r="E29" s="16" t="str">
        <f>IF(SUM(E31:E32)=0,0,"")</f>
        <v/>
      </c>
      <c r="F29" s="16"/>
      <c r="G29" s="17"/>
    </row>
    <row r="30" spans="1:9" x14ac:dyDescent="0.2">
      <c r="E30" s="15" t="str">
        <f>IF(SUM(E31:E32)=0,0,"")</f>
        <v/>
      </c>
      <c r="F30" s="15"/>
      <c r="G30" s="15"/>
    </row>
    <row r="31" spans="1:9" ht="38.25" x14ac:dyDescent="0.2">
      <c r="B31" s="18" t="s">
        <v>88</v>
      </c>
      <c r="C31" s="19" t="s">
        <v>9</v>
      </c>
      <c r="D31" s="20" t="s">
        <v>363</v>
      </c>
      <c r="E31" s="84">
        <v>220</v>
      </c>
      <c r="F31" s="108"/>
      <c r="G31" s="21" t="str">
        <f t="shared" ref="G31:G32" si="5">IF(F31="","",E31*F31)</f>
        <v/>
      </c>
      <c r="I31" s="58">
        <v>0</v>
      </c>
    </row>
    <row r="32" spans="1:9" ht="25.5" x14ac:dyDescent="0.2">
      <c r="B32" s="18" t="s">
        <v>89</v>
      </c>
      <c r="C32" s="19" t="s">
        <v>9</v>
      </c>
      <c r="D32" s="20" t="s">
        <v>252</v>
      </c>
      <c r="E32" s="84">
        <f>E31</f>
        <v>220</v>
      </c>
      <c r="F32" s="108"/>
      <c r="G32" s="21" t="str">
        <f t="shared" si="5"/>
        <v/>
      </c>
      <c r="I32" s="58">
        <v>0</v>
      </c>
    </row>
    <row r="33" spans="2:9" x14ac:dyDescent="0.2">
      <c r="E33" s="15"/>
      <c r="F33" s="15"/>
      <c r="G33" s="15"/>
    </row>
    <row r="34" spans="2:9" ht="21.2" customHeight="1" x14ac:dyDescent="0.3">
      <c r="B34" s="148" t="s">
        <v>106</v>
      </c>
      <c r="C34" s="149"/>
      <c r="D34" s="149"/>
      <c r="E34" s="16"/>
      <c r="F34" s="16"/>
      <c r="G34" s="17"/>
    </row>
    <row r="35" spans="2:9" x14ac:dyDescent="0.2">
      <c r="E35" s="15"/>
      <c r="F35" s="15"/>
      <c r="G35" s="15"/>
    </row>
    <row r="36" spans="2:9" ht="25.5" x14ac:dyDescent="0.2">
      <c r="B36" s="18" t="s">
        <v>91</v>
      </c>
      <c r="C36" s="19" t="s">
        <v>90</v>
      </c>
      <c r="D36" s="20" t="s">
        <v>253</v>
      </c>
      <c r="E36" s="84">
        <f>E38+E39+E40</f>
        <v>5457.2589999999991</v>
      </c>
      <c r="F36" s="108"/>
      <c r="G36" s="21" t="str">
        <f t="shared" ref="G36:G40" si="6">IF(F36="","",E36*F36)</f>
        <v/>
      </c>
      <c r="I36" s="56">
        <v>0</v>
      </c>
    </row>
    <row r="37" spans="2:9" ht="51" x14ac:dyDescent="0.2">
      <c r="B37" s="18" t="s">
        <v>92</v>
      </c>
      <c r="C37" s="19" t="s">
        <v>90</v>
      </c>
      <c r="D37" s="109" t="s">
        <v>322</v>
      </c>
      <c r="E37" s="84">
        <f>(('1. PREDDELA'!E46)*0.07+('1. PREDDELA'!E47)*0.1)*2.3</f>
        <v>15.962000000000002</v>
      </c>
      <c r="F37" s="108"/>
      <c r="G37" s="21" t="str">
        <f t="shared" si="6"/>
        <v/>
      </c>
      <c r="I37" s="57">
        <v>0</v>
      </c>
    </row>
    <row r="38" spans="2:9" ht="38.25" x14ac:dyDescent="0.2">
      <c r="B38" s="18" t="s">
        <v>93</v>
      </c>
      <c r="C38" s="19" t="s">
        <v>90</v>
      </c>
      <c r="D38" s="20" t="s">
        <v>241</v>
      </c>
      <c r="E38" s="84">
        <f>(E8+E9+E10+'1. PREDDELA'!E39)*1.5</f>
        <v>5051.8499999999995</v>
      </c>
      <c r="F38" s="108"/>
      <c r="G38" s="21" t="str">
        <f t="shared" si="6"/>
        <v/>
      </c>
      <c r="I38" s="57">
        <v>0</v>
      </c>
    </row>
    <row r="39" spans="2:9" ht="38.25" x14ac:dyDescent="0.2">
      <c r="B39" s="18" t="s">
        <v>94</v>
      </c>
      <c r="C39" s="19" t="s">
        <v>90</v>
      </c>
      <c r="D39" s="20" t="s">
        <v>242</v>
      </c>
      <c r="E39" s="84">
        <f>(('1. PREDDELA'!E41)*0.1+('1. PREDDELA'!E46)*0.04+('1. PREDDELA'!E40*0.05))*2.3</f>
        <v>158.88399999999999</v>
      </c>
      <c r="F39" s="108"/>
      <c r="G39" s="21" t="str">
        <f t="shared" si="6"/>
        <v/>
      </c>
      <c r="I39" s="57">
        <v>0</v>
      </c>
    </row>
    <row r="40" spans="2:9" ht="51" x14ac:dyDescent="0.2">
      <c r="B40" s="18" t="s">
        <v>95</v>
      </c>
      <c r="C40" s="19" t="s">
        <v>90</v>
      </c>
      <c r="D40" s="20" t="s">
        <v>244</v>
      </c>
      <c r="E40" s="84">
        <f>(('1. PREDDELA'!E51*80/1000)+('1. PREDDELA'!E52*120/1000)+('1. PREDDELA'!E59*120/1000)+(('1. PREDDELA'!E58)*170/1000)+(('1. PREDDELA'!E43)*400/1000)+('1. PREDDELA'!E53*50/1000)+('1. PREDDELA'!E54*60/1000))*2.5</f>
        <v>246.52500000000003</v>
      </c>
      <c r="F40" s="108"/>
      <c r="G40" s="21" t="str">
        <f t="shared" si="6"/>
        <v/>
      </c>
      <c r="I40" s="57">
        <v>0</v>
      </c>
    </row>
    <row r="41" spans="2:9" ht="13.5" thickBot="1" x14ac:dyDescent="0.25">
      <c r="B41" s="114"/>
      <c r="C41" s="115"/>
      <c r="D41" s="116"/>
      <c r="E41" s="117"/>
      <c r="F41" s="117"/>
      <c r="G41" s="117"/>
      <c r="I41" s="28"/>
    </row>
    <row r="42" spans="2:9" ht="16.5" thickBot="1" x14ac:dyDescent="0.25">
      <c r="D42" s="26" t="s">
        <v>96</v>
      </c>
      <c r="E42" s="27"/>
      <c r="F42" s="145" t="str">
        <f>IF(SUM(G8:G40)=0,"",SUM(G8:G40))</f>
        <v/>
      </c>
      <c r="G42" s="146"/>
    </row>
  </sheetData>
  <sheetProtection algorithmName="SHA-512" hashValue="Hdmf8Q0o+vLUrh5DpNCnlPzlnaoyPdvk1QWRT4vQTvZTKwORIh+XagJMPJM3cmSXEJgE0KXhLcvwwBMKBB36sQ==" saltValue="0EXjxhSdHaFP6ywwoMa2Vg==" spinCount="100000" sheet="1" objects="1" scenarios="1"/>
  <autoFilter ref="E1:G42">
    <filterColumn colId="0">
      <filters blank="1">
        <filter val="0,40"/>
        <filter val="1,00"/>
        <filter val="107,10"/>
        <filter val="15,96"/>
        <filter val="158,88"/>
        <filter val="184,00"/>
        <filter val="195,20"/>
        <filter val="20,00"/>
        <filter val="246,53"/>
        <filter val="512,51"/>
        <filter val="60,00"/>
        <filter val="količina"/>
      </filters>
    </filterColumn>
  </autoFilter>
  <dataConsolidate/>
  <mergeCells count="8">
    <mergeCell ref="B4:G4"/>
    <mergeCell ref="B6:D6"/>
    <mergeCell ref="B13:D13"/>
    <mergeCell ref="B19:D19"/>
    <mergeCell ref="F42:G42"/>
    <mergeCell ref="B23:D23"/>
    <mergeCell ref="B29:D29"/>
    <mergeCell ref="B34:D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67"/>
  <sheetViews>
    <sheetView tabSelected="1"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32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3"/>
    </row>
    <row r="4" spans="1:9" ht="15.75" x14ac:dyDescent="0.2">
      <c r="B4" s="147" t="s">
        <v>107</v>
      </c>
      <c r="C4" s="147"/>
      <c r="D4" s="147"/>
      <c r="E4" s="147"/>
      <c r="F4" s="147"/>
      <c r="G4" s="147"/>
    </row>
    <row r="5" spans="1:9" ht="12.75" customHeight="1" x14ac:dyDescent="0.2">
      <c r="B5" s="91"/>
      <c r="C5" s="91"/>
      <c r="D5" s="91"/>
      <c r="E5" s="120"/>
      <c r="F5" s="120"/>
      <c r="G5" s="120"/>
    </row>
    <row r="6" spans="1:9" ht="21.2" customHeight="1" x14ac:dyDescent="0.3">
      <c r="B6" s="148" t="s">
        <v>139</v>
      </c>
      <c r="C6" s="149"/>
      <c r="D6" s="149"/>
      <c r="E6" s="16"/>
      <c r="F6" s="16"/>
      <c r="G6" s="17"/>
    </row>
    <row r="7" spans="1:9" ht="21.2" customHeight="1" x14ac:dyDescent="0.25">
      <c r="B7" s="150" t="s">
        <v>108</v>
      </c>
      <c r="C7" s="150"/>
      <c r="D7" s="150"/>
      <c r="E7" s="23"/>
      <c r="F7" s="23"/>
      <c r="G7" s="23"/>
    </row>
    <row r="8" spans="1:9" ht="13.5" x14ac:dyDescent="0.25">
      <c r="E8" s="77"/>
      <c r="F8" s="77"/>
      <c r="G8" s="77"/>
    </row>
    <row r="9" spans="1:9" ht="38.25" x14ac:dyDescent="0.2">
      <c r="B9" s="18" t="s">
        <v>188</v>
      </c>
      <c r="C9" s="19" t="s">
        <v>24</v>
      </c>
      <c r="D9" s="20" t="s">
        <v>359</v>
      </c>
      <c r="E9" s="84">
        <f>E25*0.22</f>
        <v>158.4</v>
      </c>
      <c r="F9" s="108"/>
      <c r="G9" s="21" t="str">
        <f t="shared" ref="G9:G11" si="0">IF(F9="","",E9*F9)</f>
        <v/>
      </c>
      <c r="I9" s="48">
        <v>20</v>
      </c>
    </row>
    <row r="10" spans="1:9" s="118" customFormat="1" ht="51" x14ac:dyDescent="0.2">
      <c r="A10" s="110"/>
      <c r="B10" s="111" t="s">
        <v>189</v>
      </c>
      <c r="C10" s="112" t="s">
        <v>24</v>
      </c>
      <c r="D10" s="109" t="s">
        <v>360</v>
      </c>
      <c r="E10" s="84">
        <f>(E15*0.26)+(E16*0.32)</f>
        <v>1006.4</v>
      </c>
      <c r="F10" s="119"/>
      <c r="G10" s="84" t="str">
        <f t="shared" si="0"/>
        <v/>
      </c>
      <c r="I10" s="48">
        <v>22</v>
      </c>
    </row>
    <row r="11" spans="1:9" ht="38.25" x14ac:dyDescent="0.2">
      <c r="B11" s="18" t="s">
        <v>190</v>
      </c>
      <c r="C11" s="19" t="s">
        <v>24</v>
      </c>
      <c r="D11" s="20" t="s">
        <v>227</v>
      </c>
      <c r="E11" s="84">
        <f>(E15+E16+E25)*0.05</f>
        <v>195.5</v>
      </c>
      <c r="F11" s="108"/>
      <c r="G11" s="21" t="str">
        <f t="shared" si="0"/>
        <v/>
      </c>
      <c r="I11" s="52">
        <v>5</v>
      </c>
    </row>
    <row r="12" spans="1:9" x14ac:dyDescent="0.2">
      <c r="E12" s="15"/>
      <c r="F12" s="15"/>
      <c r="G12" s="15"/>
    </row>
    <row r="13" spans="1:9" ht="21.75" customHeight="1" x14ac:dyDescent="0.25">
      <c r="B13" s="151" t="s">
        <v>191</v>
      </c>
      <c r="C13" s="151"/>
      <c r="D13" s="151"/>
      <c r="E13" s="77" t="str">
        <f>IF(SUM(E15:E16)=0,0,"")</f>
        <v/>
      </c>
      <c r="F13" s="77"/>
      <c r="G13" s="77"/>
    </row>
    <row r="14" spans="1:9" x14ac:dyDescent="0.2">
      <c r="E14" s="15" t="str">
        <f>IF(SUM(E15:E16)=0,0,"")</f>
        <v/>
      </c>
      <c r="F14" s="15"/>
      <c r="G14" s="15"/>
    </row>
    <row r="15" spans="1:9" ht="89.25" x14ac:dyDescent="0.2">
      <c r="B15" s="18" t="s">
        <v>192</v>
      </c>
      <c r="C15" s="19" t="s">
        <v>9</v>
      </c>
      <c r="D15" s="20" t="s">
        <v>387</v>
      </c>
      <c r="E15" s="84">
        <v>240</v>
      </c>
      <c r="F15" s="108"/>
      <c r="G15" s="21" t="str">
        <f t="shared" ref="G15" si="1">IF(F15="","",E15*F15)</f>
        <v/>
      </c>
      <c r="I15" s="54">
        <v>0</v>
      </c>
    </row>
    <row r="16" spans="1:9" ht="89.25" x14ac:dyDescent="0.2">
      <c r="B16" s="18" t="s">
        <v>193</v>
      </c>
      <c r="C16" s="19" t="s">
        <v>9</v>
      </c>
      <c r="D16" s="20" t="s">
        <v>350</v>
      </c>
      <c r="E16" s="84">
        <v>2950</v>
      </c>
      <c r="F16" s="108"/>
      <c r="G16" s="21" t="str">
        <f t="shared" ref="G16" si="2">IF(F16="","",E16*F16)</f>
        <v/>
      </c>
      <c r="I16" s="54">
        <v>0</v>
      </c>
    </row>
    <row r="17" spans="1:9" x14ac:dyDescent="0.2">
      <c r="E17" s="15"/>
      <c r="F17" s="15"/>
      <c r="G17" s="15"/>
    </row>
    <row r="18" spans="1:9" ht="21.2" customHeight="1" x14ac:dyDescent="0.3">
      <c r="B18" s="148" t="s">
        <v>194</v>
      </c>
      <c r="C18" s="149"/>
      <c r="D18" s="149"/>
      <c r="E18" s="16"/>
      <c r="F18" s="16"/>
      <c r="G18" s="17"/>
    </row>
    <row r="19" spans="1:9" ht="21.2" customHeight="1" x14ac:dyDescent="0.25">
      <c r="B19" s="150" t="s">
        <v>195</v>
      </c>
      <c r="C19" s="150"/>
      <c r="D19" s="150"/>
      <c r="E19" s="23" t="str">
        <f>IF(SUM(E21:E21)=0,0,"")</f>
        <v/>
      </c>
      <c r="F19" s="23"/>
      <c r="G19" s="23"/>
    </row>
    <row r="20" spans="1:9" x14ac:dyDescent="0.2">
      <c r="E20" s="15" t="str">
        <f>IF(SUM(E21:E21)=0,0,"")</f>
        <v/>
      </c>
      <c r="F20" s="15"/>
      <c r="G20" s="15"/>
    </row>
    <row r="21" spans="1:9" ht="38.25" x14ac:dyDescent="0.2">
      <c r="B21" s="18" t="s">
        <v>196</v>
      </c>
      <c r="C21" s="19" t="s">
        <v>24</v>
      </c>
      <c r="D21" s="20" t="s">
        <v>364</v>
      </c>
      <c r="E21" s="84">
        <f>50*0.15</f>
        <v>7.5</v>
      </c>
      <c r="F21" s="108"/>
      <c r="G21" s="21" t="str">
        <f>IF(F21="","",E21*F21)</f>
        <v/>
      </c>
      <c r="I21" s="59">
        <v>0</v>
      </c>
    </row>
    <row r="22" spans="1:9" s="14" customFormat="1" x14ac:dyDescent="0.2">
      <c r="A22" s="10"/>
      <c r="B22" s="121"/>
      <c r="C22" s="122"/>
      <c r="D22" s="123"/>
      <c r="E22" s="124"/>
      <c r="F22" s="124"/>
      <c r="G22" s="124"/>
      <c r="I22" s="33"/>
    </row>
    <row r="23" spans="1:9" s="14" customFormat="1" ht="27" customHeight="1" x14ac:dyDescent="0.25">
      <c r="A23" s="10"/>
      <c r="B23" s="152" t="s">
        <v>197</v>
      </c>
      <c r="C23" s="152"/>
      <c r="D23" s="152"/>
      <c r="E23" s="125"/>
      <c r="F23" s="125"/>
      <c r="G23" s="125"/>
      <c r="I23" s="33"/>
    </row>
    <row r="24" spans="1:9" s="14" customFormat="1" x14ac:dyDescent="0.2">
      <c r="A24" s="10"/>
      <c r="B24" s="121"/>
      <c r="C24" s="122"/>
      <c r="D24" s="123"/>
      <c r="E24" s="124"/>
      <c r="F24" s="124"/>
      <c r="G24" s="124"/>
      <c r="I24" s="33"/>
    </row>
    <row r="25" spans="1:9" ht="76.5" x14ac:dyDescent="0.2">
      <c r="B25" s="18" t="s">
        <v>198</v>
      </c>
      <c r="C25" s="19" t="s">
        <v>9</v>
      </c>
      <c r="D25" s="20" t="s">
        <v>303</v>
      </c>
      <c r="E25" s="84">
        <v>720</v>
      </c>
      <c r="F25" s="108"/>
      <c r="G25" s="21" t="str">
        <f t="shared" ref="G25:G27" si="3">IF(F25="","",E25*F25)</f>
        <v/>
      </c>
      <c r="I25" s="50">
        <v>10</v>
      </c>
    </row>
    <row r="26" spans="1:9" ht="102" x14ac:dyDescent="0.2">
      <c r="B26" s="18" t="s">
        <v>199</v>
      </c>
      <c r="C26" s="19" t="s">
        <v>9</v>
      </c>
      <c r="D26" s="20" t="s">
        <v>388</v>
      </c>
      <c r="E26" s="84">
        <f>E15+E16</f>
        <v>3190</v>
      </c>
      <c r="F26" s="108"/>
      <c r="G26" s="21" t="str">
        <f t="shared" si="3"/>
        <v/>
      </c>
      <c r="I26" s="53">
        <v>0</v>
      </c>
    </row>
    <row r="27" spans="1:9" ht="38.25" x14ac:dyDescent="0.2">
      <c r="B27" s="18" t="s">
        <v>280</v>
      </c>
      <c r="C27" s="19" t="s">
        <v>21</v>
      </c>
      <c r="D27" s="20" t="s">
        <v>262</v>
      </c>
      <c r="E27" s="84">
        <v>55</v>
      </c>
      <c r="F27" s="108"/>
      <c r="G27" s="21" t="str">
        <f t="shared" si="3"/>
        <v/>
      </c>
      <c r="I27" s="28"/>
    </row>
    <row r="28" spans="1:9" x14ac:dyDescent="0.2">
      <c r="E28" s="15" t="str">
        <f>IF(SUM(E31:E33)=0,0,"")</f>
        <v/>
      </c>
      <c r="F28" s="15"/>
      <c r="G28" s="15"/>
    </row>
    <row r="29" spans="1:9" ht="27" customHeight="1" x14ac:dyDescent="0.25">
      <c r="B29" s="151" t="s">
        <v>200</v>
      </c>
      <c r="C29" s="151"/>
      <c r="D29" s="151"/>
      <c r="E29" s="77" t="str">
        <f>IF(SUM(E31:E33)=0,0,"")</f>
        <v/>
      </c>
      <c r="F29" s="77"/>
      <c r="G29" s="77"/>
    </row>
    <row r="30" spans="1:9" x14ac:dyDescent="0.2">
      <c r="E30" s="15" t="str">
        <f>IF(SUM(E31:E33)=0,0,"")</f>
        <v/>
      </c>
      <c r="F30" s="15"/>
      <c r="G30" s="15"/>
    </row>
    <row r="31" spans="1:9" ht="38.25" x14ac:dyDescent="0.2">
      <c r="B31" s="18" t="s">
        <v>201</v>
      </c>
      <c r="C31" s="19" t="s">
        <v>9</v>
      </c>
      <c r="D31" s="20" t="s">
        <v>249</v>
      </c>
      <c r="E31" s="84">
        <f>'1. PREDDELA'!E45+'1. PREDDELA'!E46+'1. PREDDELA'!E47</f>
        <v>83.25</v>
      </c>
      <c r="F31" s="108"/>
      <c r="G31" s="21" t="str">
        <f t="shared" ref="G31:G33" si="4">IF(F31="","",E31*F31)</f>
        <v/>
      </c>
      <c r="I31" s="57">
        <v>0</v>
      </c>
    </row>
    <row r="32" spans="1:9" ht="25.5" x14ac:dyDescent="0.2">
      <c r="B32" s="18" t="s">
        <v>202</v>
      </c>
      <c r="C32" s="19" t="s">
        <v>9</v>
      </c>
      <c r="D32" s="20" t="s">
        <v>228</v>
      </c>
      <c r="E32" s="84">
        <f>E31</f>
        <v>83.25</v>
      </c>
      <c r="F32" s="108"/>
      <c r="G32" s="21" t="str">
        <f t="shared" si="4"/>
        <v/>
      </c>
      <c r="I32" s="57">
        <v>0</v>
      </c>
    </row>
    <row r="33" spans="2:9" ht="25.5" x14ac:dyDescent="0.2">
      <c r="B33" s="18" t="s">
        <v>203</v>
      </c>
      <c r="C33" s="19" t="s">
        <v>21</v>
      </c>
      <c r="D33" s="20" t="s">
        <v>254</v>
      </c>
      <c r="E33" s="84">
        <f>'1. PREDDELA'!E48+'1. PREDDELA'!E49+'1. PREDDELA'!E50</f>
        <v>178</v>
      </c>
      <c r="F33" s="108"/>
      <c r="G33" s="21" t="str">
        <f t="shared" si="4"/>
        <v/>
      </c>
      <c r="I33" s="57">
        <v>0</v>
      </c>
    </row>
    <row r="34" spans="2:9" x14ac:dyDescent="0.2">
      <c r="E34" s="15" t="str">
        <f>IF(SUM(E37:E37)=0,0,"")</f>
        <v/>
      </c>
      <c r="F34" s="15"/>
      <c r="G34" s="15"/>
    </row>
    <row r="35" spans="2:9" ht="21.2" customHeight="1" x14ac:dyDescent="0.25">
      <c r="B35" s="151" t="s">
        <v>204</v>
      </c>
      <c r="C35" s="151"/>
      <c r="D35" s="151"/>
      <c r="E35" s="77" t="str">
        <f>IF(SUM(E37:E37)=0,0,"")</f>
        <v/>
      </c>
      <c r="F35" s="77"/>
      <c r="G35" s="77"/>
    </row>
    <row r="36" spans="2:9" x14ac:dyDescent="0.2">
      <c r="E36" s="15" t="str">
        <f>IF(SUM(E37:E37)=0,0,"")</f>
        <v/>
      </c>
      <c r="F36" s="15"/>
      <c r="G36" s="15"/>
    </row>
    <row r="37" spans="2:9" ht="38.25" x14ac:dyDescent="0.2">
      <c r="B37" s="18" t="s">
        <v>205</v>
      </c>
      <c r="C37" s="19" t="s">
        <v>9</v>
      </c>
      <c r="D37" s="20" t="s">
        <v>263</v>
      </c>
      <c r="E37" s="84">
        <f>45+45</f>
        <v>90</v>
      </c>
      <c r="F37" s="119"/>
      <c r="G37" s="21" t="str">
        <f t="shared" ref="G37" si="5">IF(F37="","",E37*F37)</f>
        <v/>
      </c>
      <c r="I37" s="55">
        <v>0</v>
      </c>
    </row>
    <row r="38" spans="2:9" x14ac:dyDescent="0.2">
      <c r="E38" s="113" t="str">
        <f>IF(SUM(E41:E41)=0,0,"")</f>
        <v/>
      </c>
      <c r="F38" s="113"/>
      <c r="G38" s="15"/>
    </row>
    <row r="39" spans="2:9" ht="27" customHeight="1" x14ac:dyDescent="0.25">
      <c r="B39" s="151" t="s">
        <v>206</v>
      </c>
      <c r="C39" s="151"/>
      <c r="D39" s="151"/>
      <c r="E39" s="126" t="str">
        <f>IF(SUM(E41:E41)=0,0,"")</f>
        <v/>
      </c>
      <c r="F39" s="126"/>
      <c r="G39" s="77"/>
    </row>
    <row r="40" spans="2:9" x14ac:dyDescent="0.2">
      <c r="E40" s="113" t="str">
        <f>IF(SUM(E41:E41)=0,0,"")</f>
        <v/>
      </c>
      <c r="F40" s="113"/>
      <c r="G40" s="15"/>
    </row>
    <row r="41" spans="2:9" ht="38.25" x14ac:dyDescent="0.2">
      <c r="B41" s="18" t="s">
        <v>238</v>
      </c>
      <c r="C41" s="19" t="s">
        <v>9</v>
      </c>
      <c r="D41" s="20" t="s">
        <v>264</v>
      </c>
      <c r="E41" s="84">
        <f>E37</f>
        <v>90</v>
      </c>
      <c r="F41" s="119"/>
      <c r="G41" s="21" t="str">
        <f t="shared" ref="G41" si="6">IF(F41="","",E41*F41)</f>
        <v/>
      </c>
      <c r="I41" s="59">
        <v>0</v>
      </c>
    </row>
    <row r="42" spans="2:9" x14ac:dyDescent="0.2">
      <c r="E42" s="15" t="str">
        <f>IF(SUM(E45:E49)=0,0,"")</f>
        <v/>
      </c>
      <c r="F42" s="15"/>
      <c r="G42" s="15"/>
    </row>
    <row r="43" spans="2:9" ht="21.2" customHeight="1" x14ac:dyDescent="0.3">
      <c r="B43" s="148" t="s">
        <v>207</v>
      </c>
      <c r="C43" s="149"/>
      <c r="D43" s="149"/>
      <c r="E43" s="16" t="str">
        <f>IF(SUM(E45:E49)=0,0,"")</f>
        <v/>
      </c>
      <c r="F43" s="16"/>
      <c r="G43" s="17"/>
    </row>
    <row r="44" spans="2:9" x14ac:dyDescent="0.2">
      <c r="E44" s="15" t="str">
        <f>IF(SUM(E45:E49)=0,0,"")</f>
        <v/>
      </c>
      <c r="F44" s="15"/>
      <c r="G44" s="15"/>
    </row>
    <row r="45" spans="2:9" ht="51" x14ac:dyDescent="0.2">
      <c r="B45" s="18" t="s">
        <v>209</v>
      </c>
      <c r="C45" s="19" t="s">
        <v>9</v>
      </c>
      <c r="D45" s="20" t="s">
        <v>312</v>
      </c>
      <c r="E45" s="84">
        <v>20</v>
      </c>
      <c r="F45" s="108"/>
      <c r="G45" s="21" t="str">
        <f t="shared" ref="G45:G48" si="7">IF(F45="","",E45*F45)</f>
        <v/>
      </c>
      <c r="I45" s="60">
        <v>30</v>
      </c>
    </row>
    <row r="46" spans="2:9" ht="51" x14ac:dyDescent="0.2">
      <c r="B46" s="18" t="s">
        <v>210</v>
      </c>
      <c r="C46" s="19" t="s">
        <v>9</v>
      </c>
      <c r="D46" s="20" t="s">
        <v>313</v>
      </c>
      <c r="E46" s="84">
        <v>40</v>
      </c>
      <c r="F46" s="108"/>
      <c r="G46" s="21" t="str">
        <f t="shared" si="7"/>
        <v/>
      </c>
      <c r="I46" s="60">
        <v>17</v>
      </c>
    </row>
    <row r="47" spans="2:9" ht="38.25" x14ac:dyDescent="0.2">
      <c r="B47" s="18" t="s">
        <v>311</v>
      </c>
      <c r="C47" s="19" t="s">
        <v>4</v>
      </c>
      <c r="D47" s="20" t="s">
        <v>310</v>
      </c>
      <c r="E47" s="84">
        <f>20+33+30+62+140+50+50</f>
        <v>385</v>
      </c>
      <c r="F47" s="108"/>
      <c r="G47" s="21" t="str">
        <f t="shared" ref="G47" si="8">IF(F47="","",E47*F47)</f>
        <v/>
      </c>
      <c r="I47" s="51">
        <v>0</v>
      </c>
    </row>
    <row r="48" spans="2:9" ht="38.25" x14ac:dyDescent="0.2">
      <c r="B48" s="18" t="s">
        <v>314</v>
      </c>
      <c r="C48" s="19" t="s">
        <v>4</v>
      </c>
      <c r="D48" s="20" t="s">
        <v>361</v>
      </c>
      <c r="E48" s="84">
        <f>19+19</f>
        <v>38</v>
      </c>
      <c r="F48" s="108"/>
      <c r="G48" s="21" t="str">
        <f t="shared" si="7"/>
        <v/>
      </c>
      <c r="I48" s="51">
        <v>0</v>
      </c>
    </row>
    <row r="49" spans="2:9" ht="25.5" x14ac:dyDescent="0.2">
      <c r="B49" s="18" t="s">
        <v>309</v>
      </c>
      <c r="C49" s="19" t="s">
        <v>9</v>
      </c>
      <c r="D49" s="20" t="s">
        <v>248</v>
      </c>
      <c r="E49" s="84">
        <v>30</v>
      </c>
      <c r="F49" s="108"/>
      <c r="G49" s="21" t="str">
        <f t="shared" ref="G49" si="9">IF(F49="","",E49*F49)</f>
        <v/>
      </c>
      <c r="I49" s="51">
        <v>0</v>
      </c>
    </row>
    <row r="50" spans="2:9" ht="13.5" x14ac:dyDescent="0.25">
      <c r="B50" s="114"/>
      <c r="C50" s="115"/>
      <c r="D50" s="116"/>
      <c r="E50" s="127"/>
      <c r="F50" s="117"/>
      <c r="G50" s="127"/>
      <c r="I50" s="28"/>
    </row>
    <row r="51" spans="2:9" ht="21.2" customHeight="1" x14ac:dyDescent="0.3">
      <c r="B51" s="148" t="s">
        <v>208</v>
      </c>
      <c r="C51" s="149"/>
      <c r="D51" s="149"/>
      <c r="E51" s="16"/>
      <c r="F51" s="16"/>
      <c r="G51" s="17"/>
    </row>
    <row r="52" spans="2:9" x14ac:dyDescent="0.2">
      <c r="E52" s="15" t="str">
        <f>IF(SUM(E55:E57)=0,0,"")</f>
        <v/>
      </c>
      <c r="F52" s="15"/>
      <c r="G52" s="15"/>
    </row>
    <row r="53" spans="2:9" ht="21.2" customHeight="1" x14ac:dyDescent="0.25">
      <c r="B53" s="151" t="s">
        <v>211</v>
      </c>
      <c r="C53" s="151"/>
      <c r="D53" s="151"/>
      <c r="E53" s="77" t="str">
        <f>IF(SUM(E55:E57)=0,0,"")</f>
        <v/>
      </c>
      <c r="F53" s="77"/>
      <c r="G53" s="77"/>
    </row>
    <row r="54" spans="2:9" x14ac:dyDescent="0.2">
      <c r="E54" s="15" t="str">
        <f>IF(SUM(E55:E57)=0,0,"")</f>
        <v/>
      </c>
      <c r="F54" s="15"/>
      <c r="G54" s="15"/>
    </row>
    <row r="55" spans="2:9" ht="38.25" x14ac:dyDescent="0.2">
      <c r="B55" s="18" t="s">
        <v>213</v>
      </c>
      <c r="C55" s="19" t="s">
        <v>21</v>
      </c>
      <c r="D55" s="20" t="s">
        <v>229</v>
      </c>
      <c r="E55" s="84">
        <v>760</v>
      </c>
      <c r="F55" s="108"/>
      <c r="G55" s="21" t="str">
        <f t="shared" ref="G55:G57" si="10">IF(F55="","",E55*F55)</f>
        <v/>
      </c>
      <c r="I55" s="49">
        <v>20</v>
      </c>
    </row>
    <row r="56" spans="2:9" ht="38.25" x14ac:dyDescent="0.2">
      <c r="B56" s="18" t="s">
        <v>214</v>
      </c>
      <c r="C56" s="19" t="s">
        <v>21</v>
      </c>
      <c r="D56" s="20" t="s">
        <v>230</v>
      </c>
      <c r="E56" s="84">
        <v>70</v>
      </c>
      <c r="F56" s="108"/>
      <c r="G56" s="21" t="str">
        <f t="shared" si="10"/>
        <v/>
      </c>
      <c r="I56" s="57">
        <v>0</v>
      </c>
    </row>
    <row r="57" spans="2:9" ht="38.25" x14ac:dyDescent="0.2">
      <c r="B57" s="18" t="s">
        <v>215</v>
      </c>
      <c r="C57" s="19" t="s">
        <v>21</v>
      </c>
      <c r="D57" s="20" t="s">
        <v>231</v>
      </c>
      <c r="E57" s="84">
        <v>30</v>
      </c>
      <c r="F57" s="108"/>
      <c r="G57" s="21" t="str">
        <f t="shared" si="10"/>
        <v/>
      </c>
      <c r="I57" s="56">
        <v>20</v>
      </c>
    </row>
    <row r="58" spans="2:9" x14ac:dyDescent="0.2">
      <c r="E58" s="15" t="str">
        <f>IF(SUM(E61:E61)=0,0,"")</f>
        <v/>
      </c>
      <c r="F58" s="15"/>
      <c r="G58" s="15"/>
    </row>
    <row r="59" spans="2:9" ht="21.2" customHeight="1" x14ac:dyDescent="0.25">
      <c r="B59" s="151" t="s">
        <v>212</v>
      </c>
      <c r="C59" s="151"/>
      <c r="D59" s="151"/>
      <c r="E59" s="77" t="str">
        <f>IF(SUM(E61:E61)=0,0,"")</f>
        <v/>
      </c>
      <c r="F59" s="77"/>
      <c r="G59" s="77"/>
    </row>
    <row r="60" spans="2:9" x14ac:dyDescent="0.2">
      <c r="E60" s="15" t="str">
        <f>IF(SUM(E61:E61)=0,0,"")</f>
        <v/>
      </c>
      <c r="F60" s="15"/>
      <c r="G60" s="15"/>
    </row>
    <row r="61" spans="2:9" ht="38.25" x14ac:dyDescent="0.2">
      <c r="B61" s="18" t="s">
        <v>216</v>
      </c>
      <c r="C61" s="19" t="s">
        <v>21</v>
      </c>
      <c r="D61" s="20" t="s">
        <v>365</v>
      </c>
      <c r="E61" s="84">
        <v>590</v>
      </c>
      <c r="F61" s="108"/>
      <c r="G61" s="21" t="str">
        <f t="shared" ref="G61" si="11">IF(F61="","",E61*F61)</f>
        <v/>
      </c>
      <c r="I61" s="47">
        <v>15</v>
      </c>
    </row>
    <row r="62" spans="2:9" x14ac:dyDescent="0.2">
      <c r="E62" s="15" t="str">
        <f>IF(SUM(E65:E65)=0,0,"")</f>
        <v/>
      </c>
      <c r="F62" s="15"/>
      <c r="G62" s="15"/>
    </row>
    <row r="63" spans="2:9" ht="21.2" customHeight="1" x14ac:dyDescent="0.3">
      <c r="B63" s="148" t="s">
        <v>217</v>
      </c>
      <c r="C63" s="149"/>
      <c r="D63" s="149"/>
      <c r="E63" s="16" t="str">
        <f>IF(SUM(E65:E65)=0,0,"")</f>
        <v/>
      </c>
      <c r="F63" s="16"/>
      <c r="G63" s="17"/>
    </row>
    <row r="64" spans="2:9" x14ac:dyDescent="0.2">
      <c r="E64" s="15" t="str">
        <f>IF(SUM(E65:E65)=0,0,"")</f>
        <v/>
      </c>
      <c r="F64" s="15"/>
      <c r="G64" s="15"/>
    </row>
    <row r="65" spans="2:9" ht="38.25" x14ac:dyDescent="0.2">
      <c r="B65" s="18" t="s">
        <v>218</v>
      </c>
      <c r="C65" s="19" t="s">
        <v>24</v>
      </c>
      <c r="D65" s="20" t="s">
        <v>232</v>
      </c>
      <c r="E65" s="84">
        <f>140*0.1</f>
        <v>14</v>
      </c>
      <c r="F65" s="108"/>
      <c r="G65" s="21" t="str">
        <f>IF(F65="","",E65*F65)</f>
        <v/>
      </c>
      <c r="I65" s="59">
        <v>0</v>
      </c>
    </row>
    <row r="66" spans="2:9" ht="13.5" thickBot="1" x14ac:dyDescent="0.25"/>
    <row r="67" spans="2:9" ht="16.5" thickBot="1" x14ac:dyDescent="0.25">
      <c r="D67" s="26" t="s">
        <v>138</v>
      </c>
      <c r="E67" s="27"/>
      <c r="F67" s="145" t="str">
        <f>IF(SUM(G9:G65)=0,"",SUM(G9:G65))</f>
        <v/>
      </c>
      <c r="G67" s="146"/>
    </row>
  </sheetData>
  <sheetProtection algorithmName="SHA-512" hashValue="Vil3p1vOFeec2MaPF3zU66bJfdFPco5Rnyt5ddRtKykg4gv5m/nNKvDIPdd+a0ftTXE2fBms0gCkkqgTNdSTgg==" saltValue="PD0CTrMg9cgzJNTNbMlOcg==" spinCount="100000" sheet="1" objects="1" scenarios="1"/>
  <autoFilter ref="E1:G67">
    <filterColumn colId="0">
      <filters blank="1">
        <filter val="1,00"/>
        <filter val="1.006,40"/>
        <filter val="14,00"/>
        <filter val="158,40"/>
        <filter val="178,00"/>
        <filter val="195,50"/>
        <filter val="2.950,00"/>
        <filter val="20,00"/>
        <filter val="240,00"/>
        <filter val="288,00"/>
        <filter val="3.190,00"/>
        <filter val="30,00"/>
        <filter val="40,00"/>
        <filter val="55,00"/>
        <filter val="7,50"/>
        <filter val="70,00"/>
        <filter val="720,00"/>
        <filter val="760,00"/>
        <filter val="83,25"/>
        <filter val="90,00"/>
        <filter val="količina"/>
      </filters>
    </filterColumn>
  </autoFilter>
  <dataConsolidate/>
  <mergeCells count="16">
    <mergeCell ref="B35:D35"/>
    <mergeCell ref="B39:D39"/>
    <mergeCell ref="B53:D53"/>
    <mergeCell ref="F67:G67"/>
    <mergeCell ref="B29:D29"/>
    <mergeCell ref="B43:D43"/>
    <mergeCell ref="B51:D51"/>
    <mergeCell ref="B59:D59"/>
    <mergeCell ref="B63:D63"/>
    <mergeCell ref="B23:D23"/>
    <mergeCell ref="B4:G4"/>
    <mergeCell ref="B6:D6"/>
    <mergeCell ref="B7:D7"/>
    <mergeCell ref="B18:D18"/>
    <mergeCell ref="B19:D19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7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3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35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6"/>
    </row>
    <row r="4" spans="1:9" ht="15.75" x14ac:dyDescent="0.2">
      <c r="B4" s="147" t="s">
        <v>109</v>
      </c>
      <c r="C4" s="147"/>
      <c r="D4" s="147"/>
      <c r="E4" s="147"/>
      <c r="F4" s="147"/>
      <c r="G4" s="147"/>
    </row>
    <row r="5" spans="1:9" x14ac:dyDescent="0.2">
      <c r="E5" s="15" t="str">
        <f>IF(SUM(E8:E9)=0,0,"")</f>
        <v/>
      </c>
      <c r="F5" s="15"/>
      <c r="G5" s="15"/>
    </row>
    <row r="6" spans="1:9" ht="21.2" customHeight="1" x14ac:dyDescent="0.3">
      <c r="B6" s="148" t="s">
        <v>110</v>
      </c>
      <c r="C6" s="149"/>
      <c r="D6" s="149"/>
      <c r="E6" s="16" t="str">
        <f>IF(SUM(E8:E9)=0,0,"")</f>
        <v/>
      </c>
      <c r="F6" s="16"/>
      <c r="G6" s="17"/>
    </row>
    <row r="7" spans="1:9" x14ac:dyDescent="0.2">
      <c r="E7" s="15" t="str">
        <f>IF(SUM(E8:E9)=0,0,"")</f>
        <v/>
      </c>
      <c r="F7" s="15"/>
      <c r="G7" s="15"/>
    </row>
    <row r="8" spans="1:9" ht="51" x14ac:dyDescent="0.2">
      <c r="B8" s="18" t="s">
        <v>111</v>
      </c>
      <c r="C8" s="19" t="s">
        <v>21</v>
      </c>
      <c r="D8" s="20" t="s">
        <v>323</v>
      </c>
      <c r="E8" s="84">
        <v>100</v>
      </c>
      <c r="F8" s="108"/>
      <c r="G8" s="21" t="str">
        <f t="shared" ref="G8" si="0">IF(F8="","",E8*F8)</f>
        <v/>
      </c>
      <c r="I8" s="39">
        <v>10.199999999999999</v>
      </c>
    </row>
    <row r="9" spans="1:9" ht="38.25" x14ac:dyDescent="0.2">
      <c r="B9" s="18" t="s">
        <v>112</v>
      </c>
      <c r="C9" s="19" t="s">
        <v>21</v>
      </c>
      <c r="D9" s="20" t="s">
        <v>130</v>
      </c>
      <c r="E9" s="90">
        <f>E8</f>
        <v>100</v>
      </c>
      <c r="F9" s="108"/>
      <c r="G9" s="21" t="str">
        <f t="shared" ref="G9" si="1">IF(F9="","",E9*F9)</f>
        <v/>
      </c>
      <c r="I9" s="41">
        <v>0</v>
      </c>
    </row>
    <row r="10" spans="1:9" x14ac:dyDescent="0.2">
      <c r="E10" s="15"/>
      <c r="F10" s="15"/>
      <c r="G10" s="15"/>
    </row>
    <row r="11" spans="1:9" ht="21.2" customHeight="1" x14ac:dyDescent="0.3">
      <c r="B11" s="148" t="s">
        <v>113</v>
      </c>
      <c r="C11" s="149"/>
      <c r="D11" s="149"/>
      <c r="E11" s="16"/>
      <c r="F11" s="16"/>
      <c r="G11" s="17"/>
    </row>
    <row r="12" spans="1:9" x14ac:dyDescent="0.2">
      <c r="E12" s="15"/>
      <c r="F12" s="15"/>
      <c r="G12" s="15"/>
    </row>
    <row r="13" spans="1:9" ht="51" x14ac:dyDescent="0.2">
      <c r="B13" s="18" t="s">
        <v>114</v>
      </c>
      <c r="C13" s="19" t="s">
        <v>21</v>
      </c>
      <c r="D13" s="20" t="s">
        <v>287</v>
      </c>
      <c r="E13" s="84">
        <f>65+30+15</f>
        <v>110</v>
      </c>
      <c r="F13" s="108"/>
      <c r="G13" s="21" t="str">
        <f t="shared" ref="G13:G16" si="2">IF(F13="","",E13*F13)</f>
        <v/>
      </c>
      <c r="I13" s="38">
        <v>23.16</v>
      </c>
    </row>
    <row r="14" spans="1:9" ht="63.75" x14ac:dyDescent="0.2">
      <c r="B14" s="18" t="s">
        <v>115</v>
      </c>
      <c r="C14" s="19" t="s">
        <v>21</v>
      </c>
      <c r="D14" s="20" t="s">
        <v>288</v>
      </c>
      <c r="E14" s="84">
        <v>200</v>
      </c>
      <c r="F14" s="108"/>
      <c r="G14" s="21" t="str">
        <f t="shared" si="2"/>
        <v/>
      </c>
      <c r="I14" s="38">
        <v>29.36</v>
      </c>
    </row>
    <row r="15" spans="1:9" ht="51" x14ac:dyDescent="0.2">
      <c r="B15" s="18" t="s">
        <v>116</v>
      </c>
      <c r="C15" s="19" t="s">
        <v>21</v>
      </c>
      <c r="D15" s="20" t="s">
        <v>289</v>
      </c>
      <c r="E15" s="84">
        <f>+E13</f>
        <v>110</v>
      </c>
      <c r="F15" s="108"/>
      <c r="G15" s="21" t="str">
        <f t="shared" si="2"/>
        <v/>
      </c>
      <c r="I15" s="38">
        <v>3</v>
      </c>
    </row>
    <row r="16" spans="1:9" ht="63.75" x14ac:dyDescent="0.2">
      <c r="B16" s="18" t="s">
        <v>117</v>
      </c>
      <c r="C16" s="19" t="s">
        <v>21</v>
      </c>
      <c r="D16" s="20" t="s">
        <v>290</v>
      </c>
      <c r="E16" s="84">
        <f>+E14</f>
        <v>200</v>
      </c>
      <c r="F16" s="108"/>
      <c r="G16" s="21" t="str">
        <f t="shared" si="2"/>
        <v/>
      </c>
      <c r="I16" s="38">
        <v>3.5</v>
      </c>
    </row>
    <row r="17" spans="1:9" ht="38.25" x14ac:dyDescent="0.2">
      <c r="B17" s="18" t="s">
        <v>118</v>
      </c>
      <c r="C17" s="19" t="s">
        <v>21</v>
      </c>
      <c r="D17" s="20" t="s">
        <v>291</v>
      </c>
      <c r="E17" s="84">
        <v>20</v>
      </c>
      <c r="F17" s="108"/>
      <c r="G17" s="21" t="str">
        <f t="shared" ref="G17" si="3">IF(F17="","",E17*F17)</f>
        <v/>
      </c>
      <c r="I17" s="37">
        <v>0</v>
      </c>
    </row>
    <row r="18" spans="1:9" ht="63.75" x14ac:dyDescent="0.2">
      <c r="B18" s="18" t="s">
        <v>119</v>
      </c>
      <c r="C18" s="19" t="s">
        <v>21</v>
      </c>
      <c r="D18" s="20" t="s">
        <v>330</v>
      </c>
      <c r="E18" s="84">
        <f>+E13+E14</f>
        <v>310</v>
      </c>
      <c r="F18" s="108"/>
      <c r="G18" s="21" t="str">
        <f t="shared" ref="G18:G19" si="4">IF(F18="","",E18*F18)</f>
        <v/>
      </c>
      <c r="I18" s="40">
        <v>3.6</v>
      </c>
    </row>
    <row r="19" spans="1:9" ht="51" x14ac:dyDescent="0.2">
      <c r="B19" s="18" t="s">
        <v>120</v>
      </c>
      <c r="C19" s="19" t="s">
        <v>21</v>
      </c>
      <c r="D19" s="20" t="s">
        <v>331</v>
      </c>
      <c r="E19" s="84">
        <f>E18</f>
        <v>310</v>
      </c>
      <c r="F19" s="108"/>
      <c r="G19" s="21" t="str">
        <f t="shared" si="4"/>
        <v/>
      </c>
      <c r="I19" s="38">
        <v>1.04</v>
      </c>
    </row>
    <row r="20" spans="1:9" s="118" customFormat="1" ht="51" x14ac:dyDescent="0.2">
      <c r="A20" s="110"/>
      <c r="B20" s="111" t="s">
        <v>250</v>
      </c>
      <c r="C20" s="112" t="s">
        <v>4</v>
      </c>
      <c r="D20" s="109" t="s">
        <v>352</v>
      </c>
      <c r="E20" s="90">
        <v>10</v>
      </c>
      <c r="F20" s="119"/>
      <c r="G20" s="84" t="str">
        <f t="shared" ref="G20:G21" si="5">IF(F20="","",E20*F20)</f>
        <v/>
      </c>
      <c r="I20" s="30"/>
    </row>
    <row r="21" spans="1:9" s="118" customFormat="1" ht="38.25" x14ac:dyDescent="0.2">
      <c r="A21" s="110"/>
      <c r="B21" s="111" t="s">
        <v>284</v>
      </c>
      <c r="C21" s="112" t="s">
        <v>4</v>
      </c>
      <c r="D21" s="109" t="s">
        <v>332</v>
      </c>
      <c r="E21" s="90">
        <v>30</v>
      </c>
      <c r="F21" s="119"/>
      <c r="G21" s="84" t="str">
        <f t="shared" si="5"/>
        <v/>
      </c>
      <c r="I21" s="30"/>
    </row>
    <row r="22" spans="1:9" x14ac:dyDescent="0.2">
      <c r="B22" s="114"/>
      <c r="C22" s="115"/>
      <c r="D22" s="116"/>
      <c r="E22" s="117"/>
      <c r="F22" s="117"/>
      <c r="G22" s="117"/>
      <c r="I22" s="28"/>
    </row>
    <row r="23" spans="1:9" ht="21.2" customHeight="1" x14ac:dyDescent="0.3">
      <c r="B23" s="148" t="s">
        <v>121</v>
      </c>
      <c r="C23" s="149"/>
      <c r="D23" s="149"/>
      <c r="E23" s="16" t="str">
        <f>IF(SUM(E25:E30)=0,0,"")</f>
        <v/>
      </c>
      <c r="F23" s="16"/>
      <c r="G23" s="17"/>
    </row>
    <row r="24" spans="1:9" ht="12.75" customHeight="1" x14ac:dyDescent="0.3">
      <c r="B24" s="128"/>
      <c r="C24" s="128"/>
      <c r="D24" s="128"/>
      <c r="E24" s="129"/>
      <c r="F24" s="129"/>
      <c r="G24" s="129"/>
      <c r="I24" s="43"/>
    </row>
    <row r="25" spans="1:9" ht="63.75" x14ac:dyDescent="0.2">
      <c r="B25" s="111" t="s">
        <v>122</v>
      </c>
      <c r="C25" s="112" t="s">
        <v>4</v>
      </c>
      <c r="D25" s="109" t="s">
        <v>367</v>
      </c>
      <c r="E25" s="84">
        <f>E26+E27+E28+E29</f>
        <v>46</v>
      </c>
      <c r="F25" s="119"/>
      <c r="G25" s="21" t="str">
        <f t="shared" ref="G25" si="6">IF(F25="","",E25*F25)</f>
        <v/>
      </c>
      <c r="I25" s="44">
        <v>0</v>
      </c>
    </row>
    <row r="26" spans="1:9" ht="51" x14ac:dyDescent="0.2">
      <c r="B26" s="18" t="s">
        <v>123</v>
      </c>
      <c r="C26" s="19" t="s">
        <v>4</v>
      </c>
      <c r="D26" s="130" t="s">
        <v>304</v>
      </c>
      <c r="E26" s="84">
        <v>30</v>
      </c>
      <c r="F26" s="108"/>
      <c r="G26" s="21" t="str">
        <f t="shared" ref="G26:G30" si="7">IF(F26="","",E26*F26)</f>
        <v/>
      </c>
      <c r="I26" s="46">
        <v>268.8</v>
      </c>
    </row>
    <row r="27" spans="1:9" ht="38.25" x14ac:dyDescent="0.2">
      <c r="B27" s="18" t="s">
        <v>124</v>
      </c>
      <c r="C27" s="19" t="s">
        <v>4</v>
      </c>
      <c r="D27" s="130" t="s">
        <v>305</v>
      </c>
      <c r="E27" s="84">
        <v>6</v>
      </c>
      <c r="F27" s="108"/>
      <c r="G27" s="21" t="str">
        <f t="shared" si="7"/>
        <v/>
      </c>
      <c r="I27" s="44">
        <v>0</v>
      </c>
    </row>
    <row r="28" spans="1:9" ht="38.25" x14ac:dyDescent="0.2">
      <c r="B28" s="18" t="s">
        <v>125</v>
      </c>
      <c r="C28" s="19" t="s">
        <v>4</v>
      </c>
      <c r="D28" s="130" t="s">
        <v>308</v>
      </c>
      <c r="E28" s="84">
        <v>2</v>
      </c>
      <c r="F28" s="108"/>
      <c r="G28" s="21" t="str">
        <f t="shared" ref="G28" si="8">IF(F28="","",E28*F28)</f>
        <v/>
      </c>
      <c r="I28" s="45">
        <v>289</v>
      </c>
    </row>
    <row r="29" spans="1:9" ht="38.25" x14ac:dyDescent="0.2">
      <c r="B29" s="18" t="s">
        <v>306</v>
      </c>
      <c r="C29" s="19" t="s">
        <v>4</v>
      </c>
      <c r="D29" s="130" t="s">
        <v>307</v>
      </c>
      <c r="E29" s="84">
        <v>8</v>
      </c>
      <c r="F29" s="108"/>
      <c r="G29" s="21" t="str">
        <f t="shared" si="7"/>
        <v/>
      </c>
      <c r="I29" s="45">
        <v>289</v>
      </c>
    </row>
    <row r="30" spans="1:9" ht="63.75" x14ac:dyDescent="0.2">
      <c r="B30" s="18" t="s">
        <v>126</v>
      </c>
      <c r="C30" s="19" t="s">
        <v>4</v>
      </c>
      <c r="D30" s="20" t="s">
        <v>292</v>
      </c>
      <c r="E30" s="84">
        <v>40</v>
      </c>
      <c r="F30" s="108"/>
      <c r="G30" s="21" t="str">
        <f t="shared" si="7"/>
        <v/>
      </c>
      <c r="I30" s="44">
        <v>0</v>
      </c>
    </row>
    <row r="31" spans="1:9" ht="25.5" x14ac:dyDescent="0.2">
      <c r="B31" s="18" t="s">
        <v>251</v>
      </c>
      <c r="C31" s="19" t="s">
        <v>4</v>
      </c>
      <c r="D31" s="20" t="s">
        <v>235</v>
      </c>
      <c r="E31" s="84">
        <v>22</v>
      </c>
      <c r="F31" s="108"/>
      <c r="G31" s="21" t="str">
        <f t="shared" ref="G31" si="9">IF(F31="","",E31*F31)</f>
        <v/>
      </c>
      <c r="I31" s="42">
        <v>0</v>
      </c>
    </row>
    <row r="32" spans="1:9" x14ac:dyDescent="0.2">
      <c r="E32" s="15" t="str">
        <f>IF(SUM(E35:E35)=0,0,"")</f>
        <v/>
      </c>
      <c r="F32" s="15"/>
      <c r="G32" s="15"/>
    </row>
    <row r="33" spans="2:9" ht="21.2" customHeight="1" x14ac:dyDescent="0.3">
      <c r="B33" s="148" t="s">
        <v>127</v>
      </c>
      <c r="C33" s="149"/>
      <c r="D33" s="149"/>
      <c r="E33" s="16" t="str">
        <f>IF(SUM(E35:E35)=0,0,"")</f>
        <v/>
      </c>
      <c r="F33" s="16"/>
      <c r="G33" s="17"/>
    </row>
    <row r="34" spans="2:9" x14ac:dyDescent="0.2">
      <c r="E34" s="15" t="str">
        <f>IF(SUM(E35:E35)=0,0,"")</f>
        <v/>
      </c>
      <c r="F34" s="15"/>
      <c r="G34" s="15"/>
    </row>
    <row r="35" spans="2:9" ht="38.25" x14ac:dyDescent="0.2">
      <c r="B35" s="18" t="s">
        <v>129</v>
      </c>
      <c r="C35" s="19" t="s">
        <v>4</v>
      </c>
      <c r="D35" s="20" t="s">
        <v>353</v>
      </c>
      <c r="E35" s="84">
        <v>1</v>
      </c>
      <c r="F35" s="108"/>
      <c r="G35" s="21" t="str">
        <f t="shared" ref="G35" si="10">IF(F35="","",E35*F35)</f>
        <v/>
      </c>
      <c r="I35" s="28"/>
    </row>
    <row r="36" spans="2:9" ht="13.5" thickBot="1" x14ac:dyDescent="0.25">
      <c r="B36" s="114"/>
      <c r="C36" s="115"/>
      <c r="D36" s="116"/>
      <c r="E36" s="117"/>
      <c r="F36" s="117"/>
      <c r="G36" s="117"/>
      <c r="I36" s="28"/>
    </row>
    <row r="37" spans="2:9" ht="16.5" thickBot="1" x14ac:dyDescent="0.25">
      <c r="D37" s="26" t="s">
        <v>137</v>
      </c>
      <c r="E37" s="27"/>
      <c r="F37" s="145" t="str">
        <f>IF(SUM(G5:G35)=0,"",SUM(G5:G35))</f>
        <v/>
      </c>
      <c r="G37" s="146"/>
    </row>
  </sheetData>
  <sheetProtection algorithmName="SHA-512" hashValue="39ShzgbDQOPhKu0VWP4qEB6+G60qk/xLnErOJGxEWvLFbBV9JLd6GGjPpgN4xVdPi1mtHYOqoddyJETtmlWnuQ==" saltValue="zSEPezErUfugAL7jAJfa9w==" spinCount="100000" sheet="1" objects="1" scenarios="1"/>
  <autoFilter ref="E1:G37">
    <filterColumn colId="0">
      <filters blank="1">
        <filter val="1,00"/>
        <filter val="10,00"/>
        <filter val="100,00"/>
        <filter val="110,00"/>
        <filter val="2,00"/>
        <filter val="20,00"/>
        <filter val="200,00"/>
        <filter val="30,00"/>
        <filter val="310,00"/>
        <filter val="46,00"/>
        <filter val="6,00"/>
        <filter val="8,00"/>
        <filter val="količina"/>
      </filters>
    </filterColumn>
  </autoFilter>
  <dataConsolidate/>
  <mergeCells count="6">
    <mergeCell ref="B4:G4"/>
    <mergeCell ref="F37:G37"/>
    <mergeCell ref="B6:D6"/>
    <mergeCell ref="B11:D11"/>
    <mergeCell ref="B23:D23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131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132" t="s">
        <v>56</v>
      </c>
      <c r="F2" s="9" t="s">
        <v>57</v>
      </c>
      <c r="G2" s="9" t="s">
        <v>58</v>
      </c>
      <c r="I2" s="32" t="s">
        <v>64</v>
      </c>
    </row>
    <row r="3" spans="1:9" s="14" customFormat="1" x14ac:dyDescent="0.2">
      <c r="A3" s="10"/>
      <c r="B3" s="11"/>
      <c r="C3" s="11"/>
      <c r="D3" s="12"/>
      <c r="E3" s="133"/>
      <c r="F3" s="13"/>
      <c r="G3" s="13"/>
      <c r="I3" s="33"/>
    </row>
    <row r="4" spans="1:9" ht="15.75" x14ac:dyDescent="0.2">
      <c r="B4" s="147" t="s">
        <v>131</v>
      </c>
      <c r="C4" s="147"/>
      <c r="D4" s="147"/>
      <c r="E4" s="153"/>
      <c r="F4" s="147"/>
      <c r="G4" s="147"/>
    </row>
    <row r="5" spans="1:9" x14ac:dyDescent="0.2">
      <c r="E5" s="15" t="str">
        <f>IF(SUM(E8:E8)=0,0,"")</f>
        <v/>
      </c>
      <c r="F5" s="15"/>
      <c r="G5" s="15"/>
    </row>
    <row r="6" spans="1:9" ht="21.2" customHeight="1" x14ac:dyDescent="0.3">
      <c r="B6" s="148" t="s">
        <v>132</v>
      </c>
      <c r="C6" s="149"/>
      <c r="D6" s="149"/>
      <c r="E6" s="16" t="str">
        <f>IF(SUM(E8:E8)=0,0,"")</f>
        <v/>
      </c>
      <c r="F6" s="16"/>
      <c r="G6" s="17"/>
    </row>
    <row r="7" spans="1:9" x14ac:dyDescent="0.2">
      <c r="E7" s="15" t="str">
        <f>IF(SUM(E8:E8)=0,0,"")</f>
        <v/>
      </c>
      <c r="F7" s="15"/>
      <c r="G7" s="15"/>
    </row>
    <row r="8" spans="1:9" ht="102" x14ac:dyDescent="0.2">
      <c r="B8" s="18" t="s">
        <v>261</v>
      </c>
      <c r="C8" s="19" t="s">
        <v>257</v>
      </c>
      <c r="D8" s="20" t="s">
        <v>279</v>
      </c>
      <c r="E8" s="84">
        <v>20</v>
      </c>
      <c r="F8" s="108"/>
      <c r="G8" s="21" t="str">
        <f t="shared" ref="G8" si="0">IF(F8="","",E8*F8)</f>
        <v/>
      </c>
      <c r="I8" s="31">
        <v>0</v>
      </c>
    </row>
    <row r="9" spans="1:9" x14ac:dyDescent="0.2">
      <c r="E9" s="113" t="str">
        <f>IF(SUM(E12:E13)=0,0,"")</f>
        <v/>
      </c>
      <c r="F9" s="15"/>
      <c r="G9" s="15"/>
    </row>
    <row r="10" spans="1:9" ht="21.2" customHeight="1" x14ac:dyDescent="0.3">
      <c r="B10" s="148" t="s">
        <v>133</v>
      </c>
      <c r="C10" s="149"/>
      <c r="D10" s="149"/>
      <c r="E10" s="134" t="str">
        <f>IF(SUM(E12:E13)=0,0,"")</f>
        <v/>
      </c>
      <c r="F10" s="16"/>
      <c r="G10" s="17"/>
    </row>
    <row r="11" spans="1:9" x14ac:dyDescent="0.2">
      <c r="E11" s="113" t="str">
        <f>IF(SUM(E12:E13)=0,0,"")</f>
        <v/>
      </c>
      <c r="F11" s="15"/>
      <c r="G11" s="15"/>
    </row>
    <row r="12" spans="1:9" ht="63.75" x14ac:dyDescent="0.2">
      <c r="B12" s="18" t="s">
        <v>134</v>
      </c>
      <c r="C12" s="19" t="s">
        <v>128</v>
      </c>
      <c r="D12" s="20" t="s">
        <v>348</v>
      </c>
      <c r="E12" s="84">
        <v>18</v>
      </c>
      <c r="F12" s="108"/>
      <c r="G12" s="21" t="str">
        <f t="shared" ref="G12" si="1">IF(F12="","",E12*F12)</f>
        <v/>
      </c>
      <c r="I12" s="31">
        <v>0</v>
      </c>
    </row>
    <row r="13" spans="1:9" ht="63.75" x14ac:dyDescent="0.2">
      <c r="B13" s="18" t="s">
        <v>135</v>
      </c>
      <c r="C13" s="19" t="s">
        <v>4</v>
      </c>
      <c r="D13" s="20" t="s">
        <v>349</v>
      </c>
      <c r="E13" s="21">
        <v>3</v>
      </c>
      <c r="F13" s="108"/>
      <c r="G13" s="21" t="str">
        <f t="shared" ref="G13" si="2">IF(F13="","",E13*F13)</f>
        <v/>
      </c>
      <c r="I13" s="31">
        <v>0</v>
      </c>
    </row>
    <row r="14" spans="1:9" ht="13.5" thickBot="1" x14ac:dyDescent="0.25"/>
    <row r="15" spans="1:9" ht="16.5" thickBot="1" x14ac:dyDescent="0.25">
      <c r="D15" s="26" t="s">
        <v>136</v>
      </c>
      <c r="E15" s="135"/>
      <c r="F15" s="145" t="str">
        <f>IF(SUM(G5:G13)=0,"",SUM(G5:G13))</f>
        <v/>
      </c>
      <c r="G15" s="146"/>
    </row>
  </sheetData>
  <sheetProtection algorithmName="SHA-512" hashValue="AgF3LTKlILcrEkY3CvPv4uX62jYGmdXPRZz6Rmg/mVs23FfAWxco8nsmAZg0sGr0gMcO3vidWc+PwXCraQ9adw==" saltValue="AFjT43yUzoD9jyRsqS3vYQ==" spinCount="100000" sheet="1" objects="1" scenarios="1"/>
  <autoFilter ref="E1:G15">
    <filterColumn colId="0">
      <filters blank="1">
        <filter val="18,00"/>
        <filter val="20,00"/>
        <filter val="3,00"/>
        <filter val="količina"/>
      </filters>
    </filterColumn>
  </autoFilter>
  <dataConsolidate/>
  <mergeCells count="4">
    <mergeCell ref="B4:G4"/>
    <mergeCell ref="B6:D6"/>
    <mergeCell ref="F15:G15"/>
    <mergeCell ref="B10:D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53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8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87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88"/>
    </row>
    <row r="4" spans="1:9" ht="15.75" x14ac:dyDescent="0.2">
      <c r="B4" s="147" t="s">
        <v>141</v>
      </c>
      <c r="C4" s="147"/>
      <c r="D4" s="147"/>
      <c r="E4" s="147"/>
      <c r="F4" s="147"/>
      <c r="G4" s="147"/>
    </row>
    <row r="5" spans="1:9" ht="12.75" customHeight="1" x14ac:dyDescent="0.2">
      <c r="B5" s="91"/>
      <c r="C5" s="91"/>
      <c r="D5" s="91"/>
      <c r="E5" s="120" t="str">
        <f>IF(SUM(E8:E14)=0,0,"")</f>
        <v/>
      </c>
      <c r="F5" s="120"/>
      <c r="G5" s="120"/>
    </row>
    <row r="6" spans="1:9" ht="21.2" customHeight="1" x14ac:dyDescent="0.3">
      <c r="B6" s="148" t="s">
        <v>142</v>
      </c>
      <c r="C6" s="149"/>
      <c r="D6" s="149"/>
      <c r="E6" s="16" t="str">
        <f>IF(SUM(E8:E14)=0,0,"")</f>
        <v/>
      </c>
      <c r="F6" s="16"/>
      <c r="G6" s="17"/>
    </row>
    <row r="7" spans="1:9" x14ac:dyDescent="0.2">
      <c r="E7" s="136" t="str">
        <f>IF(SUM(E8:E14)=0,0,"")</f>
        <v/>
      </c>
      <c r="F7" s="136"/>
      <c r="G7" s="136"/>
    </row>
    <row r="8" spans="1:9" ht="38.25" x14ac:dyDescent="0.2">
      <c r="B8" s="18" t="s">
        <v>143</v>
      </c>
      <c r="C8" s="19" t="s">
        <v>4</v>
      </c>
      <c r="D8" s="20" t="s">
        <v>295</v>
      </c>
      <c r="E8" s="84">
        <v>7</v>
      </c>
      <c r="F8" s="108"/>
      <c r="G8" s="21" t="str">
        <f t="shared" ref="G8:G11" si="0">IF(F8="","",E8*F8)</f>
        <v/>
      </c>
      <c r="I8" s="86">
        <v>30</v>
      </c>
    </row>
    <row r="9" spans="1:9" ht="51" x14ac:dyDescent="0.2">
      <c r="B9" s="18" t="s">
        <v>260</v>
      </c>
      <c r="C9" s="19" t="s">
        <v>4</v>
      </c>
      <c r="D9" s="20" t="s">
        <v>320</v>
      </c>
      <c r="E9" s="84">
        <v>5</v>
      </c>
      <c r="F9" s="108"/>
      <c r="G9" s="21" t="str">
        <f t="shared" si="0"/>
        <v/>
      </c>
      <c r="I9" s="86">
        <v>0</v>
      </c>
    </row>
    <row r="10" spans="1:9" ht="38.25" x14ac:dyDescent="0.2">
      <c r="B10" s="18" t="s">
        <v>144</v>
      </c>
      <c r="C10" s="19" t="s">
        <v>4</v>
      </c>
      <c r="D10" s="20" t="s">
        <v>294</v>
      </c>
      <c r="E10" s="84">
        <v>11</v>
      </c>
      <c r="F10" s="108"/>
      <c r="G10" s="21" t="str">
        <f t="shared" si="0"/>
        <v/>
      </c>
      <c r="I10" s="86">
        <v>0</v>
      </c>
    </row>
    <row r="11" spans="1:9" ht="38.25" x14ac:dyDescent="0.2">
      <c r="B11" s="18" t="s">
        <v>145</v>
      </c>
      <c r="C11" s="19" t="s">
        <v>4</v>
      </c>
      <c r="D11" s="20" t="s">
        <v>293</v>
      </c>
      <c r="E11" s="84">
        <v>2</v>
      </c>
      <c r="F11" s="108"/>
      <c r="G11" s="21" t="str">
        <f t="shared" si="0"/>
        <v/>
      </c>
      <c r="I11" s="86">
        <v>0</v>
      </c>
    </row>
    <row r="12" spans="1:9" ht="51" x14ac:dyDescent="0.2">
      <c r="B12" s="18" t="s">
        <v>146</v>
      </c>
      <c r="C12" s="19" t="s">
        <v>4</v>
      </c>
      <c r="D12" s="20" t="s">
        <v>315</v>
      </c>
      <c r="E12" s="84">
        <v>1</v>
      </c>
      <c r="F12" s="108"/>
      <c r="G12" s="21" t="str">
        <f t="shared" ref="G12:G14" si="1">IF(F12="","",E12*F12)</f>
        <v/>
      </c>
      <c r="I12" s="86">
        <v>105</v>
      </c>
    </row>
    <row r="13" spans="1:9" ht="51" x14ac:dyDescent="0.2">
      <c r="B13" s="18" t="s">
        <v>147</v>
      </c>
      <c r="C13" s="19" t="s">
        <v>4</v>
      </c>
      <c r="D13" s="20" t="s">
        <v>354</v>
      </c>
      <c r="E13" s="84">
        <f>2+2</f>
        <v>4</v>
      </c>
      <c r="F13" s="108"/>
      <c r="G13" s="21" t="str">
        <f t="shared" si="1"/>
        <v/>
      </c>
      <c r="I13" s="86">
        <v>125</v>
      </c>
    </row>
    <row r="14" spans="1:9" ht="51" x14ac:dyDescent="0.2">
      <c r="B14" s="18" t="s">
        <v>148</v>
      </c>
      <c r="C14" s="19" t="s">
        <v>4</v>
      </c>
      <c r="D14" s="20" t="s">
        <v>368</v>
      </c>
      <c r="E14" s="84">
        <v>7</v>
      </c>
      <c r="F14" s="108"/>
      <c r="G14" s="21" t="str">
        <f t="shared" si="1"/>
        <v/>
      </c>
      <c r="I14" s="86">
        <v>150</v>
      </c>
    </row>
    <row r="15" spans="1:9" x14ac:dyDescent="0.2">
      <c r="E15" s="15" t="str">
        <f>IF(SUM(E18:E34)=0,0,"")</f>
        <v/>
      </c>
      <c r="F15" s="15"/>
      <c r="G15" s="15"/>
    </row>
    <row r="16" spans="1:9" ht="21.2" customHeight="1" x14ac:dyDescent="0.3">
      <c r="B16" s="148" t="s">
        <v>149</v>
      </c>
      <c r="C16" s="149"/>
      <c r="D16" s="149"/>
      <c r="E16" s="16" t="str">
        <f>IF(SUM(E18:E34)=0,0,"")</f>
        <v/>
      </c>
      <c r="F16" s="16"/>
      <c r="G16" s="17"/>
    </row>
    <row r="17" spans="2:9" x14ac:dyDescent="0.2">
      <c r="E17" s="15" t="str">
        <f>IF(SUM(E18:E34)=0,0,"")</f>
        <v/>
      </c>
      <c r="F17" s="15"/>
      <c r="G17" s="15"/>
    </row>
    <row r="18" spans="2:9" ht="63.75" x14ac:dyDescent="0.2">
      <c r="B18" s="18" t="s">
        <v>150</v>
      </c>
      <c r="C18" s="19" t="s">
        <v>21</v>
      </c>
      <c r="D18" s="20" t="s">
        <v>383</v>
      </c>
      <c r="E18" s="90">
        <v>30</v>
      </c>
      <c r="F18" s="108"/>
      <c r="G18" s="21" t="str">
        <f>IF(F18="","",E18*F18)</f>
        <v/>
      </c>
      <c r="I18" s="86">
        <v>0</v>
      </c>
    </row>
    <row r="19" spans="2:9" ht="63.75" x14ac:dyDescent="0.2">
      <c r="B19" s="18" t="s">
        <v>151</v>
      </c>
      <c r="C19" s="19" t="s">
        <v>21</v>
      </c>
      <c r="D19" s="20" t="s">
        <v>384</v>
      </c>
      <c r="E19" s="90">
        <v>60</v>
      </c>
      <c r="F19" s="108"/>
      <c r="G19" s="21" t="str">
        <f t="shared" ref="G19" si="2">IF(F19="","",E19*F19)</f>
        <v/>
      </c>
      <c r="I19" s="86">
        <v>0</v>
      </c>
    </row>
    <row r="20" spans="2:9" ht="38.25" x14ac:dyDescent="0.2">
      <c r="B20" s="18" t="s">
        <v>152</v>
      </c>
      <c r="C20" s="19" t="s">
        <v>21</v>
      </c>
      <c r="D20" s="20" t="s">
        <v>385</v>
      </c>
      <c r="E20" s="90">
        <f>E19</f>
        <v>60</v>
      </c>
      <c r="F20" s="108"/>
      <c r="G20" s="21" t="str">
        <f t="shared" ref="G20:G29" si="3">IF(F20="","",E20*F20)</f>
        <v/>
      </c>
      <c r="I20" s="86">
        <v>0</v>
      </c>
    </row>
    <row r="21" spans="2:9" ht="63.75" x14ac:dyDescent="0.2">
      <c r="B21" s="18" t="s">
        <v>153</v>
      </c>
      <c r="C21" s="19" t="s">
        <v>21</v>
      </c>
      <c r="D21" s="109" t="s">
        <v>377</v>
      </c>
      <c r="E21" s="84">
        <v>800</v>
      </c>
      <c r="F21" s="108"/>
      <c r="G21" s="21" t="str">
        <f t="shared" si="3"/>
        <v/>
      </c>
      <c r="I21" s="86">
        <v>0</v>
      </c>
    </row>
    <row r="22" spans="2:9" ht="63.75" x14ac:dyDescent="0.2">
      <c r="B22" s="18" t="s">
        <v>154</v>
      </c>
      <c r="C22" s="19" t="s">
        <v>21</v>
      </c>
      <c r="D22" s="109" t="s">
        <v>370</v>
      </c>
      <c r="E22" s="84">
        <v>760</v>
      </c>
      <c r="F22" s="108"/>
      <c r="G22" s="21" t="str">
        <f t="shared" si="3"/>
        <v/>
      </c>
      <c r="I22" s="86">
        <v>0</v>
      </c>
    </row>
    <row r="23" spans="2:9" ht="76.5" x14ac:dyDescent="0.2">
      <c r="B23" s="18" t="s">
        <v>155</v>
      </c>
      <c r="C23" s="19" t="s">
        <v>21</v>
      </c>
      <c r="D23" s="109" t="s">
        <v>378</v>
      </c>
      <c r="E23" s="84">
        <f>1.5+1.5</f>
        <v>3</v>
      </c>
      <c r="F23" s="108"/>
      <c r="G23" s="21" t="str">
        <f t="shared" si="3"/>
        <v/>
      </c>
      <c r="I23" s="86">
        <v>15</v>
      </c>
    </row>
    <row r="24" spans="2:9" ht="76.5" x14ac:dyDescent="0.2">
      <c r="B24" s="18" t="s">
        <v>156</v>
      </c>
      <c r="C24" s="19" t="s">
        <v>21</v>
      </c>
      <c r="D24" s="109" t="s">
        <v>382</v>
      </c>
      <c r="E24" s="84">
        <f>11*2</f>
        <v>22</v>
      </c>
      <c r="F24" s="108"/>
      <c r="G24" s="21" t="str">
        <f t="shared" si="3"/>
        <v/>
      </c>
      <c r="I24" s="86">
        <v>25</v>
      </c>
    </row>
    <row r="25" spans="2:9" ht="76.5" x14ac:dyDescent="0.2">
      <c r="B25" s="18" t="s">
        <v>157</v>
      </c>
      <c r="C25" s="19" t="s">
        <v>21</v>
      </c>
      <c r="D25" s="109" t="s">
        <v>379</v>
      </c>
      <c r="E25" s="84">
        <v>11</v>
      </c>
      <c r="F25" s="108"/>
      <c r="G25" s="21" t="str">
        <f t="shared" si="3"/>
        <v/>
      </c>
      <c r="I25" s="86">
        <v>0</v>
      </c>
    </row>
    <row r="26" spans="2:9" ht="89.25" x14ac:dyDescent="0.2">
      <c r="B26" s="18" t="s">
        <v>158</v>
      </c>
      <c r="C26" s="19" t="s">
        <v>9</v>
      </c>
      <c r="D26" s="20" t="s">
        <v>371</v>
      </c>
      <c r="E26" s="84">
        <v>10</v>
      </c>
      <c r="F26" s="108"/>
      <c r="G26" s="21" t="str">
        <f t="shared" si="3"/>
        <v/>
      </c>
      <c r="I26" s="86">
        <v>0</v>
      </c>
    </row>
    <row r="27" spans="2:9" ht="89.25" x14ac:dyDescent="0.2">
      <c r="B27" s="18" t="s">
        <v>159</v>
      </c>
      <c r="C27" s="19" t="s">
        <v>9</v>
      </c>
      <c r="D27" s="20" t="s">
        <v>372</v>
      </c>
      <c r="E27" s="84">
        <v>20</v>
      </c>
      <c r="F27" s="108"/>
      <c r="G27" s="21" t="str">
        <f t="shared" si="3"/>
        <v/>
      </c>
      <c r="I27" s="86">
        <v>0</v>
      </c>
    </row>
    <row r="28" spans="2:9" ht="89.25" x14ac:dyDescent="0.2">
      <c r="B28" s="18" t="s">
        <v>160</v>
      </c>
      <c r="C28" s="19" t="s">
        <v>9</v>
      </c>
      <c r="D28" s="20" t="s">
        <v>380</v>
      </c>
      <c r="E28" s="84">
        <v>45</v>
      </c>
      <c r="F28" s="108"/>
      <c r="G28" s="21" t="str">
        <f t="shared" si="3"/>
        <v/>
      </c>
      <c r="I28" s="86">
        <v>0</v>
      </c>
    </row>
    <row r="29" spans="2:9" ht="89.25" x14ac:dyDescent="0.2">
      <c r="B29" s="18" t="s">
        <v>161</v>
      </c>
      <c r="C29" s="19" t="s">
        <v>9</v>
      </c>
      <c r="D29" s="20" t="s">
        <v>373</v>
      </c>
      <c r="E29" s="84">
        <f>27+28+30</f>
        <v>85</v>
      </c>
      <c r="F29" s="108"/>
      <c r="G29" s="21" t="str">
        <f t="shared" si="3"/>
        <v/>
      </c>
      <c r="I29" s="86">
        <v>30</v>
      </c>
    </row>
    <row r="30" spans="2:9" ht="89.25" x14ac:dyDescent="0.2">
      <c r="B30" s="18" t="s">
        <v>162</v>
      </c>
      <c r="C30" s="19" t="s">
        <v>9</v>
      </c>
      <c r="D30" s="20" t="s">
        <v>374</v>
      </c>
      <c r="E30" s="84">
        <f>(10*3)+(14)</f>
        <v>44</v>
      </c>
      <c r="F30" s="108"/>
      <c r="G30" s="21" t="str">
        <f t="shared" ref="G30:G32" si="4">IF(F30="","",E30*F30)</f>
        <v/>
      </c>
      <c r="I30" s="86">
        <v>0</v>
      </c>
    </row>
    <row r="31" spans="2:9" ht="89.25" x14ac:dyDescent="0.2">
      <c r="B31" s="18" t="s">
        <v>163</v>
      </c>
      <c r="C31" s="19" t="s">
        <v>9</v>
      </c>
      <c r="D31" s="20" t="s">
        <v>375</v>
      </c>
      <c r="E31" s="84">
        <f>(3*2)*2</f>
        <v>12</v>
      </c>
      <c r="F31" s="108"/>
      <c r="G31" s="21" t="str">
        <f t="shared" si="4"/>
        <v/>
      </c>
      <c r="I31" s="86">
        <v>0</v>
      </c>
    </row>
    <row r="32" spans="2:9" ht="63.75" x14ac:dyDescent="0.2">
      <c r="B32" s="137" t="s">
        <v>389</v>
      </c>
      <c r="C32" s="138" t="s">
        <v>21</v>
      </c>
      <c r="D32" s="139" t="s">
        <v>390</v>
      </c>
      <c r="E32" s="140">
        <v>9</v>
      </c>
      <c r="F32" s="108"/>
      <c r="G32" s="140" t="str">
        <f t="shared" si="4"/>
        <v/>
      </c>
    </row>
    <row r="33" spans="1:9" ht="38.25" x14ac:dyDescent="0.2">
      <c r="B33" s="18" t="s">
        <v>164</v>
      </c>
      <c r="C33" s="19" t="s">
        <v>21</v>
      </c>
      <c r="D33" s="20" t="s">
        <v>381</v>
      </c>
      <c r="E33" s="84">
        <f>+E21</f>
        <v>800</v>
      </c>
      <c r="F33" s="108"/>
      <c r="G33" s="21" t="str">
        <f t="shared" ref="G33:G34" si="5">IF(F33="","",E33*F33)</f>
        <v/>
      </c>
      <c r="I33" s="86">
        <v>0</v>
      </c>
    </row>
    <row r="34" spans="1:9" ht="38.25" x14ac:dyDescent="0.2">
      <c r="B34" s="18" t="s">
        <v>165</v>
      </c>
      <c r="C34" s="19" t="s">
        <v>21</v>
      </c>
      <c r="D34" s="20" t="s">
        <v>376</v>
      </c>
      <c r="E34" s="84">
        <f>E23</f>
        <v>3</v>
      </c>
      <c r="F34" s="108"/>
      <c r="G34" s="21" t="str">
        <f t="shared" si="5"/>
        <v/>
      </c>
      <c r="I34" s="86">
        <v>0</v>
      </c>
    </row>
    <row r="35" spans="1:9" x14ac:dyDescent="0.2">
      <c r="E35" s="15" t="str">
        <f>IF(SUM(E38:E38)=0,0,"")</f>
        <v/>
      </c>
      <c r="F35" s="15"/>
      <c r="G35" s="15"/>
    </row>
    <row r="36" spans="1:9" ht="21.2" customHeight="1" x14ac:dyDescent="0.3">
      <c r="B36" s="148" t="s">
        <v>166</v>
      </c>
      <c r="C36" s="149"/>
      <c r="D36" s="149"/>
      <c r="E36" s="16" t="str">
        <f>IF(SUM(E38:E38)=0,0,"")</f>
        <v/>
      </c>
      <c r="F36" s="16"/>
      <c r="G36" s="17"/>
    </row>
    <row r="37" spans="1:9" x14ac:dyDescent="0.2">
      <c r="E37" s="15" t="str">
        <f>IF(SUM(E38:E38)=0,0,"")</f>
        <v/>
      </c>
      <c r="F37" s="15"/>
      <c r="G37" s="15"/>
    </row>
    <row r="38" spans="1:9" ht="38.25" x14ac:dyDescent="0.2">
      <c r="B38" s="18" t="s">
        <v>167</v>
      </c>
      <c r="C38" s="19" t="s">
        <v>4</v>
      </c>
      <c r="D38" s="20" t="s">
        <v>296</v>
      </c>
      <c r="E38" s="84">
        <v>5</v>
      </c>
      <c r="F38" s="108"/>
      <c r="G38" s="21" t="str">
        <f>IF(F38="","",E38*F38)</f>
        <v/>
      </c>
      <c r="I38" s="86">
        <v>7.5</v>
      </c>
    </row>
    <row r="39" spans="1:9" x14ac:dyDescent="0.2">
      <c r="E39" s="15" t="str">
        <f>IF(SUM(E43:E45)=0,0,"")</f>
        <v/>
      </c>
      <c r="F39" s="15"/>
      <c r="G39" s="15"/>
    </row>
    <row r="40" spans="1:9" ht="21.2" customHeight="1" x14ac:dyDescent="0.3">
      <c r="B40" s="148" t="s">
        <v>168</v>
      </c>
      <c r="C40" s="149"/>
      <c r="D40" s="149"/>
      <c r="E40" s="16" t="str">
        <f>IF(SUM(E42:E45)=0,0,"")</f>
        <v/>
      </c>
      <c r="F40" s="16"/>
      <c r="G40" s="17"/>
    </row>
    <row r="41" spans="1:9" x14ac:dyDescent="0.2">
      <c r="E41" s="15" t="str">
        <f>IF(SUM(E43:E45)=0,0,"")</f>
        <v/>
      </c>
      <c r="F41" s="15"/>
      <c r="G41" s="15"/>
    </row>
    <row r="42" spans="1:9" ht="25.5" x14ac:dyDescent="0.2">
      <c r="B42" s="18" t="s">
        <v>301</v>
      </c>
      <c r="C42" s="19" t="s">
        <v>4</v>
      </c>
      <c r="D42" s="20" t="s">
        <v>357</v>
      </c>
      <c r="E42" s="84">
        <v>11</v>
      </c>
      <c r="F42" s="108"/>
      <c r="G42" s="21" t="str">
        <f t="shared" ref="G42" si="6">IF(F42="","",E42*F42)</f>
        <v/>
      </c>
      <c r="I42" s="86">
        <v>0</v>
      </c>
    </row>
    <row r="43" spans="1:9" ht="38.25" x14ac:dyDescent="0.2">
      <c r="B43" s="18" t="s">
        <v>169</v>
      </c>
      <c r="C43" s="19" t="s">
        <v>4</v>
      </c>
      <c r="D43" s="20" t="s">
        <v>356</v>
      </c>
      <c r="E43" s="84">
        <v>30</v>
      </c>
      <c r="F43" s="108"/>
      <c r="G43" s="21" t="str">
        <f t="shared" ref="G43" si="7">IF(F43="","",E43*F43)</f>
        <v/>
      </c>
      <c r="I43" s="86">
        <v>0</v>
      </c>
    </row>
    <row r="44" spans="1:9" ht="38.25" x14ac:dyDescent="0.2">
      <c r="B44" s="18" t="s">
        <v>170</v>
      </c>
      <c r="C44" s="19" t="s">
        <v>21</v>
      </c>
      <c r="D44" s="20" t="s">
        <v>355</v>
      </c>
      <c r="E44" s="84">
        <v>67</v>
      </c>
      <c r="F44" s="108"/>
      <c r="G44" s="21" t="str">
        <f t="shared" ref="G44" si="8">IF(F44="","",E44*F44)</f>
        <v/>
      </c>
      <c r="I44" s="86">
        <v>0</v>
      </c>
    </row>
    <row r="45" spans="1:9" s="118" customFormat="1" ht="25.5" x14ac:dyDescent="0.2">
      <c r="A45" s="110"/>
      <c r="B45" s="111" t="s">
        <v>171</v>
      </c>
      <c r="C45" s="112" t="s">
        <v>21</v>
      </c>
      <c r="D45" s="109" t="s">
        <v>297</v>
      </c>
      <c r="E45" s="84">
        <v>20</v>
      </c>
      <c r="F45" s="119"/>
      <c r="G45" s="84" t="str">
        <f t="shared" ref="G45" si="9">IF(F45="","",E45*F45)</f>
        <v/>
      </c>
      <c r="I45" s="86">
        <v>0</v>
      </c>
    </row>
    <row r="46" spans="1:9" x14ac:dyDescent="0.2">
      <c r="E46" s="15" t="str">
        <f>IF(SUM(E49:E52)=0,0,"")</f>
        <v/>
      </c>
      <c r="F46" s="15"/>
      <c r="G46" s="15"/>
    </row>
    <row r="47" spans="1:9" ht="21.2" customHeight="1" x14ac:dyDescent="0.3">
      <c r="B47" s="148" t="s">
        <v>172</v>
      </c>
      <c r="C47" s="149"/>
      <c r="D47" s="149"/>
      <c r="E47" s="16" t="str">
        <f>IF(SUM(E49:E52)=0,0,"")</f>
        <v/>
      </c>
      <c r="F47" s="16"/>
      <c r="G47" s="17"/>
    </row>
    <row r="48" spans="1:9" x14ac:dyDescent="0.2">
      <c r="E48" s="15" t="str">
        <f>IF(SUM(E49:E52)=0,0,"")</f>
        <v/>
      </c>
      <c r="F48" s="15"/>
      <c r="G48" s="15"/>
    </row>
    <row r="49" spans="2:9" ht="25.5" x14ac:dyDescent="0.2">
      <c r="B49" s="18" t="s">
        <v>317</v>
      </c>
      <c r="C49" s="19" t="s">
        <v>4</v>
      </c>
      <c r="D49" s="20" t="s">
        <v>243</v>
      </c>
      <c r="E49" s="84">
        <v>4</v>
      </c>
      <c r="F49" s="108"/>
      <c r="G49" s="21" t="str">
        <f t="shared" ref="G49:G50" si="10">IF(F49="","",E49*F49)</f>
        <v/>
      </c>
      <c r="I49" s="86">
        <v>0</v>
      </c>
    </row>
    <row r="50" spans="2:9" ht="38.25" x14ac:dyDescent="0.2">
      <c r="B50" s="18" t="s">
        <v>318</v>
      </c>
      <c r="C50" s="19" t="s">
        <v>4</v>
      </c>
      <c r="D50" s="20" t="s">
        <v>298</v>
      </c>
      <c r="E50" s="84">
        <f>E49</f>
        <v>4</v>
      </c>
      <c r="F50" s="108"/>
      <c r="G50" s="21" t="str">
        <f t="shared" si="10"/>
        <v/>
      </c>
      <c r="I50" s="86">
        <v>0</v>
      </c>
    </row>
    <row r="51" spans="2:9" ht="39.75" x14ac:dyDescent="0.2">
      <c r="B51" s="18" t="s">
        <v>319</v>
      </c>
      <c r="C51" s="19" t="s">
        <v>300</v>
      </c>
      <c r="D51" s="20" t="s">
        <v>299</v>
      </c>
      <c r="E51" s="84">
        <f>E49</f>
        <v>4</v>
      </c>
      <c r="F51" s="108"/>
      <c r="G51" s="21" t="str">
        <f t="shared" ref="G51" si="11">IF(F51="","",E51*F51)</f>
        <v/>
      </c>
      <c r="I51" s="86">
        <v>0</v>
      </c>
    </row>
    <row r="52" spans="2:9" ht="13.5" thickBot="1" x14ac:dyDescent="0.25">
      <c r="I52" s="28"/>
    </row>
    <row r="53" spans="2:9" ht="16.5" thickBot="1" x14ac:dyDescent="0.25">
      <c r="D53" s="26" t="s">
        <v>140</v>
      </c>
      <c r="E53" s="27"/>
      <c r="F53" s="145" t="str">
        <f>IF(SUM(G8:G51)=0,"",SUM(G8:G51))</f>
        <v/>
      </c>
      <c r="G53" s="146"/>
    </row>
  </sheetData>
  <sheetProtection algorithmName="SHA-512" hashValue="dOhCwQVDccsDGdlmMDaIzITLhfAJDfWDV55ku1TxhtX/IOG2UlhgSJC8ZdYuwvjUhOYbN8Eex7R1+YSMpwTO8Q==" saltValue="VloLY6s4YNJVgpOlme1BYg==" spinCount="100000" sheet="1" objects="1" scenarios="1"/>
  <autoFilter ref="E1:G53">
    <filterColumn colId="0">
      <filters blank="1">
        <filter val="1,00"/>
        <filter val="10,00"/>
        <filter val="11,00"/>
        <filter val="12,00"/>
        <filter val="2,00"/>
        <filter val="20,00"/>
        <filter val="22,00"/>
        <filter val="3,00"/>
        <filter val="30,00"/>
        <filter val="4,00"/>
        <filter val="44,00"/>
        <filter val="45,00"/>
        <filter val="5,00"/>
        <filter val="60,00"/>
        <filter val="7,00"/>
        <filter val="760,00"/>
        <filter val="800,00"/>
        <filter val="85,00"/>
        <filter val="860,00"/>
        <filter val="količina"/>
      </filters>
    </filterColumn>
  </autoFilter>
  <dataConsolidate/>
  <mergeCells count="7">
    <mergeCell ref="B47:D47"/>
    <mergeCell ref="F53:G53"/>
    <mergeCell ref="B4:G4"/>
    <mergeCell ref="B6:D6"/>
    <mergeCell ref="B16:D16"/>
    <mergeCell ref="B36:D36"/>
    <mergeCell ref="B40:D4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1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8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54</v>
      </c>
      <c r="C2" s="8" t="s">
        <v>59</v>
      </c>
      <c r="D2" s="8" t="s">
        <v>55</v>
      </c>
      <c r="E2" s="9" t="s">
        <v>56</v>
      </c>
      <c r="F2" s="9" t="s">
        <v>57</v>
      </c>
      <c r="G2" s="9" t="s">
        <v>58</v>
      </c>
      <c r="I2" s="87" t="s">
        <v>64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88"/>
    </row>
    <row r="4" spans="1:9" ht="15.75" x14ac:dyDescent="0.2">
      <c r="B4" s="147" t="s">
        <v>174</v>
      </c>
      <c r="C4" s="147"/>
      <c r="D4" s="147"/>
      <c r="E4" s="147"/>
      <c r="F4" s="147"/>
      <c r="G4" s="147"/>
    </row>
    <row r="5" spans="1:9" ht="12.75" customHeight="1" x14ac:dyDescent="0.2">
      <c r="B5" s="114"/>
      <c r="C5" s="115"/>
      <c r="D5" s="116"/>
      <c r="E5" s="117" t="str">
        <f>IF(SUM(E8:E8)=0,0,"")</f>
        <v/>
      </c>
      <c r="F5" s="117"/>
      <c r="G5" s="117"/>
      <c r="I5" s="28"/>
    </row>
    <row r="6" spans="1:9" ht="21.2" customHeight="1" x14ac:dyDescent="0.3">
      <c r="B6" s="148" t="s">
        <v>175</v>
      </c>
      <c r="C6" s="149"/>
      <c r="D6" s="149"/>
      <c r="E6" s="16" t="str">
        <f>IF(SUM(E8:E8)=0,0,"")</f>
        <v/>
      </c>
      <c r="F6" s="16"/>
      <c r="G6" s="17"/>
    </row>
    <row r="7" spans="1:9" x14ac:dyDescent="0.2">
      <c r="E7" s="136" t="str">
        <f>IF(SUM(E8:E8)=0,0,"")</f>
        <v/>
      </c>
      <c r="F7" s="136"/>
      <c r="G7" s="136"/>
    </row>
    <row r="8" spans="1:9" ht="51" x14ac:dyDescent="0.2">
      <c r="B8" s="18" t="s">
        <v>176</v>
      </c>
      <c r="C8" s="19" t="s">
        <v>257</v>
      </c>
      <c r="D8" s="20" t="s">
        <v>328</v>
      </c>
      <c r="E8" s="84">
        <f>320+60+20</f>
        <v>400</v>
      </c>
      <c r="F8" s="108"/>
      <c r="G8" s="21" t="str">
        <f>IF(F8="","",E8*F8)</f>
        <v/>
      </c>
      <c r="I8" s="86">
        <v>0</v>
      </c>
    </row>
    <row r="9" spans="1:9" ht="12.75" customHeight="1" x14ac:dyDescent="0.2">
      <c r="E9" s="136" t="str">
        <f>IF(SUM(E10:E12)=0,0,"")</f>
        <v/>
      </c>
      <c r="F9" s="136"/>
      <c r="G9" s="136"/>
    </row>
    <row r="10" spans="1:9" ht="21.2" customHeight="1" x14ac:dyDescent="0.3">
      <c r="B10" s="148" t="s">
        <v>177</v>
      </c>
      <c r="C10" s="149"/>
      <c r="D10" s="149"/>
      <c r="E10" s="16" t="str">
        <f>IF(SUM(E12:E12)=0,0,"")</f>
        <v/>
      </c>
      <c r="F10" s="16"/>
      <c r="G10" s="17"/>
    </row>
    <row r="11" spans="1:9" ht="12.75" customHeight="1" x14ac:dyDescent="0.2">
      <c r="E11" s="136" t="str">
        <f>IF(SUM(E12:E12)=0,0,"")</f>
        <v/>
      </c>
      <c r="F11" s="136"/>
      <c r="G11" s="136"/>
    </row>
    <row r="12" spans="1:9" ht="51" x14ac:dyDescent="0.2">
      <c r="B12" s="18" t="s">
        <v>178</v>
      </c>
      <c r="C12" s="19" t="s">
        <v>257</v>
      </c>
      <c r="D12" s="20" t="s">
        <v>327</v>
      </c>
      <c r="E12" s="84">
        <f>20+320+35+260+50</f>
        <v>685</v>
      </c>
      <c r="F12" s="108"/>
      <c r="G12" s="21" t="str">
        <f t="shared" ref="G12" si="0">IF(F12="","",E12*F12)</f>
        <v/>
      </c>
      <c r="I12" s="86">
        <v>0</v>
      </c>
    </row>
    <row r="13" spans="1:9" ht="12.75" customHeight="1" x14ac:dyDescent="0.2">
      <c r="E13" s="136" t="str">
        <f>IF(SUM(E16:E16)=0,0,"")</f>
        <v/>
      </c>
      <c r="F13" s="136"/>
      <c r="G13" s="136"/>
    </row>
    <row r="14" spans="1:9" ht="21.2" customHeight="1" x14ac:dyDescent="0.3">
      <c r="B14" s="148" t="s">
        <v>179</v>
      </c>
      <c r="C14" s="149"/>
      <c r="D14" s="149"/>
      <c r="E14" s="16" t="str">
        <f>IF(SUM(E16:E16)=0,0,"")</f>
        <v/>
      </c>
      <c r="F14" s="16"/>
      <c r="G14" s="17"/>
    </row>
    <row r="15" spans="1:9" ht="12.75" customHeight="1" x14ac:dyDescent="0.2">
      <c r="E15" s="136" t="str">
        <f>IF(SUM(E16:E16)=0,0,"")</f>
        <v/>
      </c>
      <c r="F15" s="136"/>
      <c r="G15" s="136"/>
    </row>
    <row r="16" spans="1:9" ht="51" x14ac:dyDescent="0.2">
      <c r="B16" s="18" t="s">
        <v>278</v>
      </c>
      <c r="C16" s="19" t="s">
        <v>21</v>
      </c>
      <c r="D16" s="20" t="s">
        <v>325</v>
      </c>
      <c r="E16" s="84">
        <f>50+260</f>
        <v>310</v>
      </c>
      <c r="F16" s="108"/>
      <c r="G16" s="21" t="str">
        <f t="shared" ref="G16" si="1">IF(F16="","",E16*F16)</f>
        <v/>
      </c>
      <c r="I16" s="28"/>
    </row>
    <row r="17" spans="2:9" x14ac:dyDescent="0.2">
      <c r="E17" s="136" t="str">
        <f>IF(SUM(E18:E21)=0,0,"")</f>
        <v/>
      </c>
      <c r="F17" s="136"/>
      <c r="G17" s="136"/>
    </row>
    <row r="18" spans="2:9" ht="21.2" customHeight="1" x14ac:dyDescent="0.3">
      <c r="B18" s="148" t="s">
        <v>180</v>
      </c>
      <c r="C18" s="149"/>
      <c r="D18" s="149"/>
      <c r="E18" s="16" t="str">
        <f>IF(SUM(E20:E21)=0,0,"")</f>
        <v/>
      </c>
      <c r="F18" s="16"/>
      <c r="G18" s="17"/>
    </row>
    <row r="19" spans="2:9" x14ac:dyDescent="0.2">
      <c r="E19" s="136" t="str">
        <f>IF(SUM(E20:E21)=0,0,"")</f>
        <v/>
      </c>
      <c r="F19" s="136"/>
      <c r="G19" s="136"/>
    </row>
    <row r="20" spans="2:9" ht="51" x14ac:dyDescent="0.2">
      <c r="B20" s="18" t="s">
        <v>181</v>
      </c>
      <c r="C20" s="19" t="s">
        <v>257</v>
      </c>
      <c r="D20" s="20" t="s">
        <v>326</v>
      </c>
      <c r="E20" s="84">
        <f>400+100</f>
        <v>500</v>
      </c>
      <c r="F20" s="108"/>
      <c r="G20" s="21" t="str">
        <f>IF(F20="","",E20*F20)</f>
        <v/>
      </c>
      <c r="I20" s="86">
        <v>0</v>
      </c>
    </row>
    <row r="21" spans="2:9" ht="114" customHeight="1" x14ac:dyDescent="0.2">
      <c r="B21" s="18" t="s">
        <v>182</v>
      </c>
      <c r="C21" s="19" t="s">
        <v>4</v>
      </c>
      <c r="D21" s="20" t="s">
        <v>351</v>
      </c>
      <c r="E21" s="21">
        <v>1</v>
      </c>
      <c r="F21" s="108"/>
      <c r="G21" s="21" t="str">
        <f t="shared" ref="G21" si="2">IF(F21="","",E21*F21)</f>
        <v/>
      </c>
      <c r="I21" s="86">
        <v>0</v>
      </c>
    </row>
    <row r="22" spans="2:9" ht="12.75" customHeight="1" x14ac:dyDescent="0.2">
      <c r="E22" s="136" t="str">
        <f>IF(SUM(E25:E29)=0,0,"")</f>
        <v/>
      </c>
      <c r="F22" s="136"/>
      <c r="G22" s="136"/>
    </row>
    <row r="23" spans="2:9" ht="21.2" customHeight="1" x14ac:dyDescent="0.3">
      <c r="B23" s="148" t="s">
        <v>183</v>
      </c>
      <c r="C23" s="149"/>
      <c r="D23" s="149"/>
      <c r="E23" s="16" t="str">
        <f>IF(SUM(E25:E29)=0,0,"")</f>
        <v/>
      </c>
      <c r="F23" s="16"/>
      <c r="G23" s="17"/>
    </row>
    <row r="24" spans="2:9" ht="9" customHeight="1" x14ac:dyDescent="0.2">
      <c r="E24" s="136" t="str">
        <f>IF(SUM(E25:E29)=0,0,"")</f>
        <v/>
      </c>
      <c r="F24" s="136"/>
      <c r="G24" s="136"/>
    </row>
    <row r="25" spans="2:9" ht="25.5" x14ac:dyDescent="0.2">
      <c r="B25" s="18" t="s">
        <v>184</v>
      </c>
      <c r="C25" s="19" t="s">
        <v>185</v>
      </c>
      <c r="D25" s="20" t="s">
        <v>258</v>
      </c>
      <c r="E25" s="84">
        <v>40</v>
      </c>
      <c r="F25" s="108"/>
      <c r="G25" s="21" t="str">
        <f t="shared" ref="G25:G29" si="3">IF(F25="","",E25*F25)</f>
        <v/>
      </c>
      <c r="I25" s="86">
        <v>125</v>
      </c>
    </row>
    <row r="26" spans="2:9" ht="25.5" x14ac:dyDescent="0.2">
      <c r="B26" s="18" t="s">
        <v>186</v>
      </c>
      <c r="C26" s="19" t="s">
        <v>185</v>
      </c>
      <c r="D26" s="20" t="s">
        <v>259</v>
      </c>
      <c r="E26" s="84">
        <v>25</v>
      </c>
      <c r="F26" s="108"/>
      <c r="G26" s="21" t="str">
        <f t="shared" si="3"/>
        <v/>
      </c>
      <c r="I26" s="86">
        <v>125</v>
      </c>
    </row>
    <row r="27" spans="2:9" ht="38.25" x14ac:dyDescent="0.2">
      <c r="B27" s="18" t="s">
        <v>333</v>
      </c>
      <c r="C27" s="19" t="s">
        <v>334</v>
      </c>
      <c r="D27" s="109" t="s">
        <v>335</v>
      </c>
      <c r="E27" s="84">
        <v>20</v>
      </c>
      <c r="F27" s="108"/>
      <c r="G27" s="21" t="str">
        <f t="shared" si="3"/>
        <v/>
      </c>
      <c r="I27" s="28"/>
    </row>
    <row r="28" spans="2:9" ht="63.75" x14ac:dyDescent="0.2">
      <c r="B28" s="18" t="s">
        <v>187</v>
      </c>
      <c r="C28" s="19" t="s">
        <v>334</v>
      </c>
      <c r="D28" s="109" t="s">
        <v>336</v>
      </c>
      <c r="E28" s="84">
        <v>20</v>
      </c>
      <c r="F28" s="108"/>
      <c r="G28" s="21" t="str">
        <f t="shared" si="3"/>
        <v/>
      </c>
      <c r="I28" s="28"/>
    </row>
    <row r="29" spans="2:9" ht="51" x14ac:dyDescent="0.2">
      <c r="B29" s="18" t="s">
        <v>324</v>
      </c>
      <c r="C29" s="19" t="s">
        <v>4</v>
      </c>
      <c r="D29" s="20" t="s">
        <v>329</v>
      </c>
      <c r="E29" s="84">
        <v>1</v>
      </c>
      <c r="F29" s="108"/>
      <c r="G29" s="21" t="str">
        <f t="shared" si="3"/>
        <v/>
      </c>
      <c r="I29" s="86">
        <v>0</v>
      </c>
    </row>
    <row r="30" spans="2:9" ht="12.75" customHeight="1" thickBot="1" x14ac:dyDescent="0.25"/>
    <row r="31" spans="2:9" ht="16.5" thickBot="1" x14ac:dyDescent="0.25">
      <c r="D31" s="26" t="s">
        <v>173</v>
      </c>
      <c r="E31" s="27"/>
      <c r="F31" s="145" t="str">
        <f>IF(SUM(G6:G29)=0,"",SUM(G6:G29))</f>
        <v/>
      </c>
      <c r="G31" s="146"/>
    </row>
  </sheetData>
  <sheetProtection algorithmName="SHA-512" hashValue="wOK7GNqVueCtus9qXaw+vhcdEuQAuameW7GqkbJTEnXc7kIvwThSptJ/HbSOZyHaAovDlMJjOqf02bm7hWzxYg==" saltValue="OIU4jPS6aIPckQku7Hai5A==" spinCount="100000" sheet="1" objects="1" scenarios="1"/>
  <autoFilter ref="E1:G31">
    <filterColumn colId="0">
      <filters blank="1">
        <filter val="1,00"/>
        <filter val="20,00"/>
        <filter val="25,00"/>
        <filter val="310,00"/>
        <filter val="40,00"/>
        <filter val="400,00"/>
        <filter val="500,00"/>
        <filter val="685,00"/>
        <filter val="količina"/>
      </filters>
    </filterColumn>
  </autoFilter>
  <dataConsolidate/>
  <mergeCells count="7">
    <mergeCell ref="B23:D23"/>
    <mergeCell ref="F31:G31"/>
    <mergeCell ref="B10:D10"/>
    <mergeCell ref="B4:G4"/>
    <mergeCell ref="B6:D6"/>
    <mergeCell ref="B14:D14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49</vt:i4>
      </vt:variant>
    </vt:vector>
  </HeadingPairs>
  <TitlesOfParts>
    <vt:vector size="57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_4.5_Prepusti</vt:lpstr>
      <vt:lpstr>_5.5_Popravila_objektov</vt:lpstr>
      <vt:lpstr>_5.8_Ključavničarska_dela</vt:lpstr>
      <vt:lpstr>_6.1_Pokončna_oprema_cest</vt:lpstr>
      <vt:lpstr>_6.2_Označbe_na_voziščihž</vt:lpstr>
      <vt:lpstr>_6.3_Oprema_za_vodenje_prometa</vt:lpstr>
      <vt:lpstr>_6.4_Oprema_za_zavarovanje_prometa</vt:lpstr>
      <vt:lpstr>_6.6_Druga_prometna_oprema_cest</vt:lpstr>
      <vt:lpstr>_7.2_Elektroenergetski_vodi</vt:lpstr>
      <vt:lpstr>_7.3_Telekomunikacijske_naprave</vt:lpstr>
      <vt:lpstr>_7.5_Javna_razsvetljava</vt:lpstr>
      <vt:lpstr>_7.6_vodovod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2024-12-17T15:17:42Z</cp:lastPrinted>
  <dcterms:created xsi:type="dcterms:W3CDTF">2010-07-30T11:24:43Z</dcterms:created>
  <dcterms:modified xsi:type="dcterms:W3CDTF">2025-02-25T13:42:39Z</dcterms:modified>
</cp:coreProperties>
</file>