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C:\Users\bostjan\Desktop\0.2.1_Rekonstrukcija ceste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state="hidden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PREDDELA'!$B$46</definedName>
    <definedName name="_1.4_Predhodna_dela">'1. PREDDELA'!#REF!</definedName>
    <definedName name="_1.5_Geotehnika_predorov">'1. PREDDELA'!#REF!</definedName>
    <definedName name="_1_preddela_1" localSheetId="1">'1. PREDDELA'!$B$2:$F$52</definedName>
    <definedName name="_1_preddela_1" localSheetId="2">'2. ZEMELJSKA DELA'!$B$2:$F$41</definedName>
    <definedName name="_1_preddela_1" localSheetId="3">'3. VOZIŠČNE KONSTRUKCIJE'!$B$2:$F$46</definedName>
    <definedName name="_1_preddela_1" localSheetId="4">'4. ODVODNJAVANJE'!$B$2:$F$27</definedName>
    <definedName name="_1_preddela_1" localSheetId="5">'5. GRADBENA IN OBRTNIŠKA DELA'!$B$2:$F$6</definedName>
    <definedName name="_1_preddela_1" localSheetId="6">'6. OPREMA CEST'!$B$2:$F$30</definedName>
    <definedName name="_1_preddela_1" localSheetId="7">'7. TUJE STORITVE'!$B$2:$F$34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DELA'!$B$28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DELA'!$B$33</definedName>
    <definedName name="_3.1_Nosilne_plasti">'3. VOZIŠČNE KONSTRUKCIJE'!$B$6</definedName>
    <definedName name="_3.2_Obrabne_plasti">'3. VOZIŠČNE KONSTRUKCIJE'!$B$18</definedName>
    <definedName name="_3.3_Vezane_nosilne_in_obrabne_plasti">'3. VOZIŠČNE KONSTRUKCIJE'!#REF!</definedName>
    <definedName name="_3.4_Tlakovane_obrabne_plasti">'3. VOZIŠČNE KONSTRUKCIJE'!$B$31</definedName>
    <definedName name="_3.5_Robni_elementi_vozišč">'3. VOZIŠČNE KONSTRUKCIJE'!$B$35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ODVODNJAVANJE'!$B$15</definedName>
    <definedName name="_4.5_Prepusti">'4. ODVODNJAVANJE'!$B$23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CEST'!$B$13</definedName>
    <definedName name="_6.3_Oprema_za_vodenje_prometa">'6. OPREMA CEST'!#REF!</definedName>
    <definedName name="_6.4_Oprema_za_zavarovanje_prometa">'6. OPREMA CEST'!$B$26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STORITVE'!$B$14</definedName>
    <definedName name="_7.6_vodovod">'7. TUJE STORITVE'!$B$18</definedName>
    <definedName name="_7.7_Plinovod">'7. TUJE STORITVE'!#REF!</definedName>
    <definedName name="_7.8_Železnica">'7. TUJE STORITVE'!$B$22</definedName>
    <definedName name="_7.9_Preizkusi_nadzor_dokumentacija">'7. TUJE STORITVE'!$B$26</definedName>
    <definedName name="_xlnm._FilterDatabase" localSheetId="1" hidden="1">'1. PREDDELA'!$E$1:$G$52</definedName>
    <definedName name="_xlnm._FilterDatabase" localSheetId="2" hidden="1">'2. ZEMELJSKA DELA'!$E$1:$G$41</definedName>
    <definedName name="_xlnm._FilterDatabase" localSheetId="3" hidden="1">'3. VOZIŠČNE KONSTRUKCIJE'!$E$1:$G$46</definedName>
    <definedName name="_xlnm._FilterDatabase" localSheetId="4" hidden="1">'4. ODVODNJAVANJE'!$E$1:$G$27</definedName>
    <definedName name="_xlnm._FilterDatabase" localSheetId="5" hidden="1">'5. GRADBENA IN OBRTNIŠKA DELA'!$E$1:$G$6</definedName>
    <definedName name="_xlnm._FilterDatabase" localSheetId="6" hidden="1">'6. OPREMA CEST'!$E$1:$G$30</definedName>
    <definedName name="_xlnm._FilterDatabase" localSheetId="7" hidden="1">'7. TUJE STORITVE'!$E$1:$G$34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PREDDELA'!$B$46</definedName>
    <definedName name="_xlnm.Print_Area" localSheetId="5">'5. GRADBENA IN OBRTNIŠKA DELA'!$A$1:$G$6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CEST'!$B$26</definedName>
  </definedNames>
  <calcPr calcId="152511"/>
</workbook>
</file>

<file path=xl/calcChain.xml><?xml version="1.0" encoding="utf-8"?>
<calcChain xmlns="http://schemas.openxmlformats.org/spreadsheetml/2006/main">
  <c r="E33" i="5" l="1"/>
  <c r="E23" i="8"/>
  <c r="E22" i="8"/>
  <c r="E39" i="4" l="1"/>
  <c r="E37" i="4"/>
  <c r="E24" i="4"/>
  <c r="E11" i="4"/>
  <c r="E10" i="4"/>
  <c r="F6" i="7"/>
  <c r="E17" i="6"/>
  <c r="E12" i="6"/>
  <c r="E11" i="6"/>
  <c r="E11" i="5"/>
  <c r="E23" i="5"/>
  <c r="E21" i="8" l="1"/>
  <c r="E24" i="9" l="1"/>
  <c r="E25" i="8" l="1"/>
  <c r="E27" i="8"/>
  <c r="E26" i="8"/>
  <c r="E36" i="2" l="1"/>
  <c r="E20" i="4" l="1"/>
  <c r="E16" i="4"/>
  <c r="E8" i="4"/>
  <c r="E38" i="2" l="1"/>
  <c r="G24" i="8" l="1"/>
  <c r="G23" i="8"/>
  <c r="G22" i="8"/>
  <c r="G21" i="8"/>
  <c r="G20" i="8"/>
  <c r="G19" i="8"/>
  <c r="G18" i="8"/>
  <c r="G17" i="8"/>
  <c r="G16" i="8"/>
  <c r="G15" i="8"/>
  <c r="E25" i="4" l="1"/>
  <c r="E15" i="4"/>
  <c r="E10" i="5"/>
  <c r="E9" i="5"/>
  <c r="E9" i="4"/>
  <c r="E26" i="4" l="1"/>
  <c r="E43" i="2" l="1"/>
  <c r="G31" i="9" l="1"/>
  <c r="G30" i="9"/>
  <c r="G32" i="9" l="1"/>
  <c r="G33" i="5" l="1"/>
  <c r="E15" i="9" l="1"/>
  <c r="E13" i="9"/>
  <c r="E29" i="5" l="1"/>
  <c r="E33" i="2" l="1"/>
  <c r="E31" i="2"/>
  <c r="E32" i="5"/>
  <c r="E31" i="5"/>
  <c r="E30" i="5"/>
  <c r="E32" i="2" l="1"/>
  <c r="E36" i="4" s="1"/>
  <c r="E27" i="5" l="1"/>
  <c r="E38" i="4"/>
  <c r="G13" i="6" l="1"/>
  <c r="E28" i="5"/>
  <c r="E7" i="9" l="1"/>
  <c r="E5" i="9"/>
  <c r="E31" i="4"/>
  <c r="E9" i="6" l="1"/>
  <c r="E11" i="9" l="1"/>
  <c r="E10" i="9"/>
  <c r="E9" i="9" l="1"/>
  <c r="E35" i="4" l="1"/>
  <c r="E14" i="9" l="1"/>
  <c r="G28" i="8" l="1"/>
  <c r="E9" i="2"/>
  <c r="G16" i="9" l="1"/>
  <c r="G25" i="6" l="1"/>
  <c r="G16" i="4" l="1"/>
  <c r="G21" i="6" l="1"/>
  <c r="G50" i="2" l="1"/>
  <c r="G28" i="9" l="1"/>
  <c r="G29" i="9"/>
  <c r="G24" i="9"/>
  <c r="G20" i="9"/>
  <c r="G12" i="9"/>
  <c r="G8" i="9"/>
  <c r="G8" i="8"/>
  <c r="G9" i="8"/>
  <c r="G10" i="8"/>
  <c r="G11" i="8"/>
  <c r="G35" i="4"/>
  <c r="G36" i="4"/>
  <c r="G37" i="4"/>
  <c r="G38" i="4"/>
  <c r="G39" i="4"/>
  <c r="G17" i="6"/>
  <c r="G18" i="6"/>
  <c r="G19" i="6"/>
  <c r="G20" i="6"/>
  <c r="G8" i="6"/>
  <c r="G9" i="6"/>
  <c r="G10" i="6"/>
  <c r="G11" i="6"/>
  <c r="G12" i="6"/>
  <c r="G44" i="5"/>
  <c r="G39" i="5"/>
  <c r="G40" i="5"/>
  <c r="G27" i="5"/>
  <c r="G28" i="5"/>
  <c r="G29" i="5"/>
  <c r="G22" i="5"/>
  <c r="G23" i="5"/>
  <c r="G15" i="5"/>
  <c r="G16" i="5"/>
  <c r="G9" i="5"/>
  <c r="G10" i="5"/>
  <c r="G11" i="5"/>
  <c r="G30" i="4"/>
  <c r="G31" i="4"/>
  <c r="G24" i="4"/>
  <c r="G25" i="4"/>
  <c r="G26" i="4"/>
  <c r="G20" i="4"/>
  <c r="G15" i="4"/>
  <c r="G8" i="4"/>
  <c r="G9" i="4"/>
  <c r="G10" i="4"/>
  <c r="G11" i="4"/>
  <c r="G49" i="2"/>
  <c r="G43" i="2"/>
  <c r="G44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22" i="2"/>
  <c r="G21" i="2"/>
  <c r="G16" i="2"/>
  <c r="G17" i="2"/>
  <c r="G8" i="2"/>
  <c r="G9" i="2"/>
  <c r="G10" i="2"/>
  <c r="G11" i="2"/>
  <c r="E27" i="9"/>
  <c r="E26" i="9"/>
  <c r="E25" i="9"/>
  <c r="E23" i="9"/>
  <c r="E22" i="9"/>
  <c r="E21" i="9"/>
  <c r="E19" i="9"/>
  <c r="E18" i="9"/>
  <c r="E6" i="9"/>
  <c r="E14" i="8"/>
  <c r="E13" i="8"/>
  <c r="E12" i="8"/>
  <c r="E7" i="8"/>
  <c r="E6" i="8"/>
  <c r="E5" i="8"/>
  <c r="E24" i="6"/>
  <c r="E23" i="6"/>
  <c r="E22" i="6"/>
  <c r="E43" i="5"/>
  <c r="E42" i="5"/>
  <c r="E41" i="5"/>
  <c r="E38" i="5"/>
  <c r="E37" i="5"/>
  <c r="E36" i="5"/>
  <c r="E26" i="5"/>
  <c r="E25" i="5"/>
  <c r="E24" i="5"/>
  <c r="E14" i="5"/>
  <c r="E13" i="5"/>
  <c r="E29" i="4"/>
  <c r="E28" i="4"/>
  <c r="E27" i="4"/>
  <c r="E19" i="4"/>
  <c r="E18" i="4"/>
  <c r="E17" i="4"/>
  <c r="E48" i="2"/>
  <c r="E47" i="2"/>
  <c r="E42" i="2"/>
  <c r="E40" i="2"/>
  <c r="E41" i="2"/>
  <c r="E25" i="2"/>
  <c r="E24" i="2"/>
  <c r="E23" i="2"/>
  <c r="E18" i="2"/>
  <c r="E19" i="2"/>
  <c r="E20" i="2"/>
  <c r="E15" i="2"/>
  <c r="E14" i="2"/>
  <c r="E7" i="2"/>
  <c r="E6" i="2"/>
  <c r="E5" i="2"/>
  <c r="E17" i="9" l="1"/>
  <c r="E12" i="2"/>
  <c r="E13" i="2"/>
  <c r="F27" i="6" l="1"/>
  <c r="F30" i="8"/>
  <c r="H24" i="1" s="1"/>
  <c r="F41" i="4"/>
  <c r="H16" i="1" s="1"/>
  <c r="H22" i="1" l="1"/>
  <c r="F46" i="5"/>
  <c r="H18" i="1" s="1"/>
  <c r="F52" i="2"/>
  <c r="H14" i="1" s="1"/>
  <c r="H20" i="1"/>
  <c r="F34" i="9" l="1"/>
  <c r="H26" i="1" s="1"/>
  <c r="H28" i="1" s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<sst xmlns="http://schemas.openxmlformats.org/spreadsheetml/2006/main" count="400" uniqueCount="275">
  <si>
    <t>1.   PREDDELA</t>
  </si>
  <si>
    <t>km</t>
  </si>
  <si>
    <t>11 121</t>
  </si>
  <si>
    <t>11 131</t>
  </si>
  <si>
    <t>kos</t>
  </si>
  <si>
    <t>11 221</t>
  </si>
  <si>
    <t>11 631</t>
  </si>
  <si>
    <t>ura</t>
  </si>
  <si>
    <t>m2</t>
  </si>
  <si>
    <t>12 121</t>
  </si>
  <si>
    <t>12 211</t>
  </si>
  <si>
    <t>m1</t>
  </si>
  <si>
    <t>m3</t>
  </si>
  <si>
    <t>12 321</t>
  </si>
  <si>
    <t>12 322</t>
  </si>
  <si>
    <t>12 323</t>
  </si>
  <si>
    <t>12 331</t>
  </si>
  <si>
    <t>12 351</t>
  </si>
  <si>
    <t>12 371</t>
  </si>
  <si>
    <t>12 372</t>
  </si>
  <si>
    <t>12 373</t>
  </si>
  <si>
    <t>12 381</t>
  </si>
  <si>
    <t>12 382</t>
  </si>
  <si>
    <t>12 383</t>
  </si>
  <si>
    <t>12 391</t>
  </si>
  <si>
    <t>12 393</t>
  </si>
  <si>
    <t>12 396</t>
  </si>
  <si>
    <t>12 426</t>
  </si>
  <si>
    <t>12 431</t>
  </si>
  <si>
    <t>dan</t>
  </si>
  <si>
    <t>13 113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</si>
  <si>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</si>
  <si>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</si>
  <si>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</si>
  <si>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</si>
  <si>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</si>
  <si>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</si>
  <si>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</si>
  <si>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</si>
  <si>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</si>
  <si>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</si>
  <si>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</si>
  <si>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</si>
  <si>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</si>
  <si>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</si>
  <si>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</si>
  <si>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</si>
  <si>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</si>
  <si>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</si>
  <si>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</si>
  <si>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gosto porasli površini (nad 50 % pokritega tlorisa) - ročno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</si>
  <si>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</si>
  <si>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</si>
  <si>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</si>
  <si>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</si>
  <si>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</si>
  <si>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</si>
  <si>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</si>
  <si>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</si>
  <si>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</si>
  <si>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23 313</t>
  </si>
  <si>
    <t>24 112</t>
  </si>
  <si>
    <t>24 421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</si>
  <si>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</si>
  <si>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</si>
  <si>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</si>
  <si>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</si>
  <si>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</si>
  <si>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</si>
  <si>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</si>
  <si>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</si>
  <si>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</si>
  <si>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</si>
  <si>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</si>
  <si>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</si>
  <si>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</si>
  <si>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</si>
  <si>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14 do 16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</si>
  <si>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</si>
  <si>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</si>
  <si>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</si>
  <si>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</si>
  <si>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</si>
  <si>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</si>
  <si>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</si>
  <si>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</si>
  <si>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</si>
  <si>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43 232</t>
  </si>
  <si>
    <t>43 272</t>
  </si>
  <si>
    <t>43 511</t>
  </si>
  <si>
    <t>43 831</t>
  </si>
  <si>
    <t>43 841</t>
  </si>
  <si>
    <t>4.4  Jaški</t>
  </si>
  <si>
    <t>44 333</t>
  </si>
  <si>
    <t>44 973</t>
  </si>
  <si>
    <t>44 992</t>
  </si>
  <si>
    <t>4.5  Prepusti</t>
  </si>
  <si>
    <t>45 211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</si>
  <si>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</si>
  <si>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</si>
  <si>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</si>
  <si>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</si>
  <si>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</si>
  <si>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</si>
  <si>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</si>
  <si>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</si>
  <si>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61 217</t>
  </si>
  <si>
    <t>61 622</t>
  </si>
  <si>
    <t>61 713</t>
  </si>
  <si>
    <t>6.2  Označbe na voziščih</t>
  </si>
  <si>
    <t>62 112</t>
  </si>
  <si>
    <t>62 252</t>
  </si>
  <si>
    <t>62 412</t>
  </si>
  <si>
    <t>62 414</t>
  </si>
  <si>
    <t>62 425</t>
  </si>
  <si>
    <t>62 426</t>
  </si>
  <si>
    <t>62 428</t>
  </si>
  <si>
    <t>62 472</t>
  </si>
  <si>
    <t>62 623</t>
  </si>
  <si>
    <t>62 732</t>
  </si>
  <si>
    <t>6.4  Oprema za zavarovanje prometa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</si>
  <si>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</si>
  <si>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</si>
  <si>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</si>
  <si>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</si>
  <si>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</si>
  <si>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</si>
  <si>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7.5  Javna razsvetljava</t>
  </si>
  <si>
    <t>7.6  Vodovodi</t>
  </si>
  <si>
    <t>76 111</t>
  </si>
  <si>
    <t>7.8  Križanje cest z železniško progo</t>
  </si>
  <si>
    <t>78 111</t>
  </si>
  <si>
    <t>7.9  Preizkusi, nadzor in tehnična dokumentacija</t>
  </si>
  <si>
    <t>79 311</t>
  </si>
  <si>
    <t>ur</t>
  </si>
  <si>
    <t>79 351</t>
  </si>
  <si>
    <t>79 511</t>
  </si>
  <si>
    <t>31 131</t>
  </si>
  <si>
    <t>31 132</t>
  </si>
  <si>
    <t>31 181</t>
  </si>
  <si>
    <t>3.1.4-6 Asfaltne nosilne plasti - Asphalt concrete - base (AC base)</t>
  </si>
  <si>
    <t>31 552</t>
  </si>
  <si>
    <t>31 646</t>
  </si>
  <si>
    <t>3.2  Obrabne plasti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</si>
  <si>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</si>
  <si>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</si>
  <si>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</si>
  <si>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</si>
  <si>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</si>
  <si>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</si>
  <si>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</si>
  <si>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</si>
  <si>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</si>
  <si>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</si>
  <si>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</si>
  <si>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35 214</t>
  </si>
  <si>
    <t>35 235</t>
  </si>
  <si>
    <t>35 313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</si>
  <si>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</si>
  <si>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</si>
  <si>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</si>
  <si>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</si>
  <si>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</si>
  <si>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</si>
  <si>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</si>
  <si>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</si>
  <si>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</si>
  <si>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</si>
  <si>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</si>
  <si>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</si>
  <si>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>13 142</t>
  </si>
  <si>
    <t xml:space="preserve">Izdelava elaborata začasne prometne ureditve
</t>
  </si>
  <si>
    <t xml:space="preserve">Višinsko prilagajanje kap obstoječe komunalne infrastrukture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</si>
  <si>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</si>
  <si>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</si>
  <si>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</si>
  <si>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</si>
  <si>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</si>
  <si>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</si>
  <si>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</si>
  <si>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</si>
  <si>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</si>
  <si>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</si>
  <si>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Čiščenje utrjene/odrezkane površine/podlage pred pobrizgom z bitumenskim vezivom
</t>
  </si>
  <si>
    <t>43 851</t>
  </si>
  <si>
    <t>44 996</t>
  </si>
  <si>
    <t xml:space="preserve">Doplačilo za zatravitev s semenom
</t>
  </si>
  <si>
    <t xml:space="preserve">Prevoz materiala na razdaljo nad 10 do 15 km
</t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</si>
  <si>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</si>
  <si>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</si>
  <si>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</si>
  <si>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</si>
  <si>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</si>
  <si>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</si>
  <si>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>61 181</t>
  </si>
  <si>
    <t xml:space="preserve">Porušitev in odstranitev obrobe iz granitnih kock
</t>
  </si>
  <si>
    <t xml:space="preserve">Porušitev grednega robnika iz cementnega betona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</si>
  <si>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</si>
  <si>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</si>
  <si>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</si>
  <si>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</si>
  <si>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</si>
  <si>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t>75 711</t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</si>
  <si>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</si>
  <si>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nad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</si>
  <si>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 xml:space="preserve">Izdelava posteljice v debelini plasti do 40 cm iz zrnate kamnine – 3. kategorije
</t>
  </si>
  <si>
    <t xml:space="preserve">Izdelava posteljice v debelini plasti do 30 cm iz zrnate kamnine – 3. kategorije
</t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</si>
  <si>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jaškov-pod voziščem)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</si>
  <si>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povezave in priklopa vtočnih jaškov in priklop linijskih kanalet-pod voziščem)
</t>
    </r>
  </si>
  <si>
    <r>
      <t>Doplačilo za izdelavo kanalizacije</t>
    </r>
    <r>
      <rPr>
        <b/>
        <sz val="10"/>
        <color theme="1"/>
        <rFont val="Arial Narrow"/>
        <family val="2"/>
        <charset val="238"/>
      </rPr>
      <t xml:space="preserve"> v globini 1,1 do 2 m</t>
    </r>
    <r>
      <rPr>
        <sz val="10"/>
        <color theme="1"/>
        <rFont val="Arial Narrow"/>
        <family val="2"/>
        <charset val="238"/>
      </rPr>
      <t xml:space="preserve"> s cevmi premera do</t>
    </r>
    <r>
      <rPr>
        <b/>
        <sz val="10"/>
        <color theme="1"/>
        <rFont val="Arial Narrow"/>
        <family val="2"/>
        <charset val="238"/>
      </rPr>
      <t xml:space="preserve"> DN315</t>
    </r>
    <r>
      <rPr>
        <sz val="10"/>
        <color theme="1"/>
        <rFont val="Arial Narrow"/>
        <family val="2"/>
        <charset val="238"/>
      </rPr>
      <t xml:space="preserve"> mm 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</si>
  <si>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</si>
  <si>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</si>
  <si>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t>64 012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</si>
  <si>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</si>
  <si>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 )
</t>
    </r>
  </si>
  <si>
    <t>44 978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</si>
  <si>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ravne LTŽ rešetke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
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na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</si>
  <si>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</si>
  <si>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</si>
  <si>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</si>
  <si>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r>
      <t>Nabava, dobava in vgradnja (zabitje)</t>
    </r>
    <r>
      <rPr>
        <b/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</si>
  <si>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vgrsajenih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</si>
  <si>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</si>
  <si>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</si>
  <si>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obstoječega </t>
    </r>
    <r>
      <rPr>
        <b/>
        <i/>
        <sz val="10"/>
        <color theme="1"/>
        <rFont val="Arial Narrow"/>
        <family val="2"/>
        <charset val="238"/>
      </rPr>
      <t>vkopanega voda cestne razsvetljave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</si>
  <si>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vodovoda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</si>
  <si>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</si>
  <si>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elektro-energetskega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</si>
  <si>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</si>
  <si>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</si>
  <si>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</si>
  <si>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t>79 371</t>
  </si>
  <si>
    <r>
      <t xml:space="preserve">ur
</t>
    </r>
    <r>
      <rPr>
        <sz val="9"/>
        <color theme="1"/>
        <rFont val="Arial Narrow"/>
        <family val="2"/>
        <charset val="238"/>
      </rPr>
      <t>(ocena)</t>
    </r>
  </si>
  <si>
    <r>
      <rPr>
        <b/>
        <i/>
        <sz val="10"/>
        <rFont val="Arial Narrow"/>
        <family val="2"/>
        <charset val="238"/>
      </rPr>
      <t>Strokovni nadzor</t>
    </r>
    <r>
      <rPr>
        <sz val="10"/>
        <rFont val="Arial Narrow"/>
        <family val="2"/>
        <charset val="238"/>
      </rPr>
      <t xml:space="preserve"> nad izvajanjem del s strani pooblaščene osebe </t>
    </r>
    <r>
      <rPr>
        <b/>
        <i/>
        <sz val="10"/>
        <rFont val="Arial Narrow"/>
        <family val="2"/>
        <charset val="238"/>
      </rPr>
      <t xml:space="preserve">upravljavca JŽI </t>
    </r>
    <r>
      <rPr>
        <sz val="10"/>
        <rFont val="Arial Narrow"/>
        <family val="2"/>
        <charset val="238"/>
      </rPr>
      <t xml:space="preserve">(SŽ)
</t>
    </r>
  </si>
  <si>
    <r>
      <rPr>
        <b/>
        <i/>
        <sz val="10"/>
        <rFont val="Arial Narrow"/>
        <family val="2"/>
        <charset val="238"/>
      </rPr>
      <t>Opravljanje pregleda</t>
    </r>
    <r>
      <rPr>
        <sz val="10"/>
        <rFont val="Arial Narrow"/>
        <family val="2"/>
        <charset val="238"/>
      </rPr>
      <t xml:space="preserve"> proge, zavarovanje prometa na nivojskih prehodih, varovanje delovne skupine, delovišča, posameznega odseka proge ali objekta oziroma izvajanje drugih nalog </t>
    </r>
    <r>
      <rPr>
        <b/>
        <i/>
        <sz val="10"/>
        <rFont val="Arial Narrow"/>
        <family val="2"/>
        <charset val="238"/>
      </rPr>
      <t xml:space="preserve">progovnega čuvaja </t>
    </r>
    <r>
      <rPr>
        <sz val="10"/>
        <rFont val="Arial Narrow"/>
        <family val="2"/>
        <charset val="238"/>
      </rPr>
      <t xml:space="preserve">(SŽ)
</t>
    </r>
  </si>
  <si>
    <t xml:space="preserve">Demontaža prometnega znaka na enem podstavku
</t>
  </si>
  <si>
    <t xml:space="preserve">Porušitev in odstranitev cementnobetonske krovne plasti v debelini do 20 cm
</t>
  </si>
  <si>
    <r>
      <t>Rezanje asfaltne plasti s talno diamantno žago, debele 11 do 15 cm
(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>)</t>
    </r>
  </si>
  <si>
    <r>
      <t>Rezanje asfaltne plasti s talno diamantno žago, debele do 5 cm
(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)
</t>
    </r>
  </si>
  <si>
    <r>
      <t>Rezkanje in odvoz asfaltne krovne plasti v debelini do 3 cm 
(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)
</t>
    </r>
  </si>
  <si>
    <r>
      <t>Rezkanje in odvoz asfaltne krovne plasti v debelini 8 do 10 cm 
(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)
</t>
    </r>
  </si>
  <si>
    <t xml:space="preserve">Porušitev in odstranitev kanalizacije in požiralniških navezav iz obbetoniranih cevi s premerom do 40 cm
</t>
  </si>
  <si>
    <t xml:space="preserve">Porušitev in odstranitev vtočnega jaška (požiralnik) z notranjo stranico/premerom do 60 cm
</t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</si>
  <si>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>AC 32 base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12 cm</t>
    </r>
    <r>
      <rPr>
        <sz val="10"/>
        <color theme="1"/>
        <rFont val="Arial Narrow"/>
        <family val="2"/>
        <charset val="238"/>
      </rPr>
      <t xml:space="preserve"> 
( </t>
    </r>
    <r>
      <rPr>
        <i/>
        <sz val="10"/>
        <color theme="1"/>
        <rFont val="Arial Narrow"/>
        <family val="2"/>
        <charset val="238"/>
      </rPr>
      <t>vozišče, kolesarski pasovi na vozišču, bus postajališče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</si>
  <si>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
</t>
    </r>
    <r>
      <rPr>
        <i/>
        <sz val="10"/>
        <color theme="1"/>
        <rFont val="Arial Narrow"/>
        <family val="2"/>
        <charset val="238"/>
      </rPr>
      <t>( vozišče-cestni priključki, uvozi čez pločnik, uvozi, dvorišča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</si>
  <si>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vozišče-glavna cesta, vozišče-cestni priključki, bus postajališče, uvozi, dvorišča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</si>
  <si>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>vtočnega jaška ali linijskega požiralnika</t>
    </r>
    <r>
      <rPr>
        <sz val="10"/>
        <rFont val="Arial Narrow"/>
        <family val="2"/>
        <charset val="238"/>
      </rPr>
      <t xml:space="preserve"> na predviden </t>
    </r>
    <r>
      <rPr>
        <b/>
        <i/>
        <sz val="10"/>
        <rFont val="Arial Narrow"/>
        <family val="2"/>
        <charset val="238"/>
      </rPr>
      <t>vtočni/revizijski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</si>
  <si>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poševne vtočne ali iztočne glave</t>
    </r>
    <r>
      <rPr>
        <sz val="10"/>
        <color theme="1"/>
        <rFont val="Arial Narrow"/>
        <family val="2"/>
        <charset val="238"/>
      </rPr>
      <t xml:space="preserve"> krožnega prereza iz </t>
    </r>
    <r>
      <rPr>
        <b/>
        <i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 s </t>
    </r>
    <r>
      <rPr>
        <b/>
        <i/>
        <sz val="10"/>
        <color theme="1"/>
        <rFont val="Arial Narrow"/>
        <family val="2"/>
        <charset val="238"/>
      </rPr>
      <t xml:space="preserve">premerom </t>
    </r>
    <r>
      <rPr>
        <i/>
        <sz val="10"/>
        <color theme="1"/>
        <rFont val="Arial Narrow"/>
        <family val="2"/>
        <charset val="238"/>
      </rPr>
      <t xml:space="preserve">do </t>
    </r>
    <r>
      <rPr>
        <b/>
        <i/>
        <sz val="10"/>
        <color theme="1"/>
        <rFont val="Arial Narrow"/>
        <family val="2"/>
        <charset val="238"/>
      </rPr>
      <t>DN250 mm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</si>
  <si>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okroglega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>belo/rdečo</t>
    </r>
    <r>
      <rPr>
        <sz val="10"/>
        <color theme="1"/>
        <rFont val="Arial Narrow"/>
        <family val="2"/>
        <charset val="238"/>
      </rPr>
      <t xml:space="preserve"> 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premera 600 mm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2232-4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</si>
  <si>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belo/modro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0,21 do 0,40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2431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</si>
  <si>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inox stebrička</t>
    </r>
    <r>
      <rPr>
        <sz val="10"/>
        <color theme="1"/>
        <rFont val="Arial Narrow"/>
        <family val="2"/>
        <charset val="238"/>
      </rPr>
      <t xml:space="preserve">
</t>
    </r>
  </si>
  <si>
    <t>Široki izkop vezljive zemljine – 3. kategorije – strojno z nakladanjem</t>
  </si>
  <si>
    <t xml:space="preserve">Humuziranje brežine in zelenice brez valjanja, v debelini do 20 cm - strojno
</t>
  </si>
  <si>
    <r>
      <t xml:space="preserve">Izdelava obrobe iz malih tlakovcev iz naravnega kamna velikosti 
10 cm / 10 cm / 10 cm  ( </t>
    </r>
    <r>
      <rPr>
        <i/>
        <sz val="10"/>
        <color theme="1"/>
        <rFont val="Arial Narrow"/>
        <family val="2"/>
        <charset val="238"/>
      </rPr>
      <t>granitne kocke-obroba pločnika</t>
    </r>
    <r>
      <rPr>
        <sz val="10"/>
        <color theme="1"/>
        <rFont val="Arial Narrow"/>
        <family val="2"/>
        <charset val="238"/>
      </rPr>
      <t xml:space="preserve"> )
</t>
    </r>
  </si>
  <si>
    <t>2267-24</t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</si>
  <si>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>, vključno z vrtanjem odprtin in izdelavo AB venca
(</t>
    </r>
    <r>
      <rPr>
        <i/>
        <sz val="10"/>
        <rFont val="Arial Narrow"/>
        <family val="2"/>
        <charset val="238"/>
      </rPr>
      <t xml:space="preserve"> vtočni jašek s peskolovom</t>
    </r>
    <r>
      <rPr>
        <sz val="10"/>
        <rFont val="Arial Narrow"/>
        <family val="2"/>
        <charset val="238"/>
      </rPr>
      <t xml:space="preserve"> )
</t>
    </r>
  </si>
  <si>
    <r>
      <t>Rezanje asfaltne plasti s talno diamantno žago, debele 6 do 10 cm
(</t>
    </r>
    <r>
      <rPr>
        <i/>
        <sz val="10"/>
        <color theme="1"/>
        <rFont val="Arial Narrow"/>
        <family val="2"/>
        <charset val="238"/>
      </rPr>
      <t>uvozi, dvorišča</t>
    </r>
    <r>
      <rPr>
        <sz val="10"/>
        <color theme="1"/>
        <rFont val="Arial Narrow"/>
        <family val="2"/>
        <charset val="238"/>
      </rPr>
      <t>)</t>
    </r>
  </si>
  <si>
    <r>
      <t>Rezkanje in odvoz asfaltne krovne plasti v debelini 4 do 7 cm 
(</t>
    </r>
    <r>
      <rPr>
        <i/>
        <sz val="10"/>
        <color theme="1"/>
        <rFont val="Arial Narrow"/>
        <family val="2"/>
        <charset val="238"/>
      </rPr>
      <t>uvozi, dvorišča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</si>
  <si>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uvozi, dvorišča</t>
    </r>
    <r>
      <rPr>
        <sz val="10"/>
        <color theme="1"/>
        <rFont val="Arial Narrow"/>
        <family val="2"/>
        <charset val="238"/>
      </rPr>
      <t xml:space="preserve"> )
</t>
    </r>
  </si>
  <si>
    <r>
      <t>Porušitev in odstranitev nevezanega tlaka iz lomljenca, tlakovcev, plošč, debeline do 12 cm  (</t>
    </r>
    <r>
      <rPr>
        <i/>
        <sz val="10"/>
        <color theme="1"/>
        <rFont val="Arial Narrow"/>
        <family val="2"/>
        <charset val="238"/>
      </rPr>
      <t>pas granitnih kock ob papirnici Vevče</t>
    </r>
    <r>
      <rPr>
        <sz val="10"/>
        <color theme="1"/>
        <rFont val="Arial Narrow"/>
        <family val="2"/>
        <charset val="238"/>
      </rPr>
      <t>)</t>
    </r>
  </si>
  <si>
    <r>
      <t xml:space="preserve">Izdelava nevezane nosilne plasti enakomerno zrnatega drobljenca iz kamnine v debelini 20 cm 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</si>
  <si>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nevezane nosilne plasti enakomerno zrnatega drobljenca iz kamnine v debelini 30 cm  
( </t>
    </r>
    <r>
      <rPr>
        <i/>
        <sz val="10"/>
        <rFont val="Arial Narrow"/>
        <family val="2"/>
        <charset val="238"/>
      </rPr>
      <t>vozišče, uvozi, dvorišča</t>
    </r>
    <r>
      <rPr>
        <sz val="10"/>
        <rFont val="Arial Narrow"/>
        <family val="2"/>
        <charset val="238"/>
      </rPr>
      <t xml:space="preserve"> )
</t>
    </r>
  </si>
  <si>
    <t>1. FAZA, od T12 do T52</t>
  </si>
  <si>
    <r>
      <t>Dobava in vgradnja "</t>
    </r>
    <r>
      <rPr>
        <b/>
        <i/>
        <sz val="10"/>
        <rFont val="Arial Narrow"/>
        <family val="2"/>
        <charset val="238"/>
      </rPr>
      <t>veloSTRAIL plošč</t>
    </r>
    <r>
      <rPr>
        <sz val="10"/>
        <rFont val="Arial Narrow"/>
        <family val="2"/>
        <charset val="238"/>
      </rPr>
      <t>" ob in med železniškimi tiri, ki potekajo v nivoju vozišča, vključno z vsem potrebnim montažnim materialom za vgradnjo po načrtu plošč TECA d.o.o.:
-</t>
    </r>
    <r>
      <rPr>
        <b/>
        <i/>
        <sz val="10"/>
        <rFont val="Arial Narrow"/>
        <family val="2"/>
        <charset val="238"/>
      </rPr>
      <t xml:space="preserve"> izvedba med T1 in T3 - križišče z Vevško cesto
  </t>
    </r>
    <r>
      <rPr>
        <i/>
        <sz val="10"/>
        <rFont val="Arial Narrow"/>
        <family val="2"/>
        <charset val="238"/>
      </rPr>
      <t>(izvedba veloStrail z širokimi (713mm) zunanjimi ploščami in
   T robniki), L=</t>
    </r>
    <r>
      <rPr>
        <b/>
        <i/>
        <sz val="10"/>
        <rFont val="Arial Narrow"/>
        <family val="2"/>
        <charset val="238"/>
      </rPr>
      <t>26,4</t>
    </r>
    <r>
      <rPr>
        <i/>
        <sz val="10"/>
        <rFont val="Arial Narrow"/>
        <family val="2"/>
        <charset val="238"/>
      </rPr>
      <t>m;</t>
    </r>
    <r>
      <rPr>
        <sz val="10"/>
        <rFont val="Arial Narrow"/>
        <family val="2"/>
        <charset val="238"/>
      </rPr>
      <t xml:space="preserve">
- </t>
    </r>
    <r>
      <rPr>
        <b/>
        <i/>
        <sz val="10"/>
        <rFont val="Arial Narrow"/>
        <family val="2"/>
        <charset val="238"/>
      </rPr>
      <t xml:space="preserve">izvedba med T6 in T12 - pri uvozu v papirnico
 </t>
    </r>
    <r>
      <rPr>
        <i/>
        <sz val="10"/>
        <rFont val="Arial Narrow"/>
        <family val="2"/>
        <charset val="238"/>
      </rPr>
      <t>(izvedba veloStrail z ozkimi (591mm) zunanjimi ploščami in 
  brez T robnikov, v sredini “removable panel”), L=</t>
    </r>
    <r>
      <rPr>
        <b/>
        <i/>
        <sz val="10"/>
        <rFont val="Arial Narrow"/>
        <family val="2"/>
        <charset val="238"/>
      </rPr>
      <t>43,2</t>
    </r>
    <r>
      <rPr>
        <i/>
        <sz val="10"/>
        <rFont val="Arial Narrow"/>
        <family val="2"/>
        <charset val="238"/>
      </rPr>
      <t xml:space="preserve">m;
</t>
    </r>
    <r>
      <rPr>
        <sz val="10"/>
        <rFont val="Arial Narrow"/>
        <family val="2"/>
        <charset val="238"/>
      </rPr>
      <t xml:space="preserve">
( </t>
    </r>
    <r>
      <rPr>
        <b/>
        <i/>
        <sz val="10"/>
        <rFont val="Arial Narrow"/>
        <family val="2"/>
        <charset val="238"/>
      </rPr>
      <t>zamenjava tirov in pragov ni upoštevno</t>
    </r>
    <r>
      <rPr>
        <sz val="10"/>
        <rFont val="Arial Narrow"/>
        <family val="2"/>
        <charset val="238"/>
      </rPr>
      <t xml:space="preserve"> )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</si>
  <si>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i/>
        <sz val="10"/>
        <color theme="1"/>
        <rFont val="Arial Narrow"/>
        <family val="2"/>
        <charset val="238"/>
      </rPr>
      <t xml:space="preserve">( 5231-širine 400 cm 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</si>
  <si>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do 0,5 m2
</t>
    </r>
    <r>
      <rPr>
        <i/>
        <sz val="10"/>
        <color theme="1"/>
        <rFont val="Arial Narrow"/>
        <family val="2"/>
        <charset val="238"/>
      </rPr>
      <t>( puščice na kolesarski stezi - 5411, 5421, 5422 )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</si>
  <si>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0,6 do 1,0 m2
</t>
    </r>
    <r>
      <rPr>
        <i/>
        <sz val="10"/>
        <color theme="1"/>
        <rFont val="Arial Narrow"/>
        <family val="2"/>
        <charset val="238"/>
      </rPr>
      <t>( piktogrami na kolesarski stezi - 5609-1 )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</si>
  <si>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tankoslojne</t>
    </r>
    <r>
      <rPr>
        <sz val="10"/>
        <color theme="1"/>
        <rFont val="Arial Narrow"/>
        <family val="2"/>
        <charset val="238"/>
      </rPr>
      <t xml:space="preserve"> vzdolžne označbe na vozišču z </t>
    </r>
    <r>
      <rPr>
        <b/>
        <i/>
        <sz val="10"/>
        <color theme="1"/>
        <rFont val="Arial Narrow"/>
        <family val="2"/>
        <charset val="238"/>
      </rPr>
      <t>enokomponentno belo barvo</t>
    </r>
    <r>
      <rPr>
        <sz val="10"/>
        <color theme="1"/>
        <rFont val="Arial Narrow"/>
        <family val="2"/>
        <charset val="238"/>
      </rPr>
      <t xml:space="preserve">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color theme="1"/>
        <rFont val="Arial Narrow"/>
        <family val="2"/>
        <charset val="238"/>
      </rPr>
      <t>200 µm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širina črte 12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5111, 5121-3, 5112</t>
    </r>
    <r>
      <rPr>
        <sz val="10"/>
        <color theme="1"/>
        <rFont val="Arial Narrow"/>
        <family val="2"/>
        <charset val="238"/>
      </rPr>
      <t xml:space="preserve"> )
</t>
    </r>
  </si>
  <si>
    <r>
      <t>Doplačilo za izdelavo</t>
    </r>
    <r>
      <rPr>
        <b/>
        <i/>
        <sz val="10"/>
        <color theme="1"/>
        <rFont val="Arial Narrow"/>
        <family val="2"/>
        <charset val="238"/>
      </rPr>
      <t xml:space="preserve"> prekinjenih tankoslojnih</t>
    </r>
    <r>
      <rPr>
        <sz val="10"/>
        <color theme="1"/>
        <rFont val="Arial Narrow"/>
        <family val="2"/>
        <charset val="238"/>
      </rPr>
      <t xml:space="preserve"> vzdolžnih označb na vozišču, </t>
    </r>
    <r>
      <rPr>
        <b/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12 cm </t>
    </r>
    <r>
      <rPr>
        <i/>
        <sz val="10"/>
        <color theme="1"/>
        <rFont val="Arial Narrow"/>
        <family val="2"/>
        <charset val="238"/>
      </rPr>
      <t xml:space="preserve"> ( 5121, 5121-3 )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</si>
  <si>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</t>
    </r>
    <r>
      <rPr>
        <b/>
        <i/>
        <sz val="10"/>
        <rFont val="Arial Narrow"/>
        <family val="2"/>
        <charset val="238"/>
      </rPr>
      <t xml:space="preserve"> bele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12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>5121-3, 5112</t>
    </r>
    <r>
      <rPr>
        <sz val="10"/>
        <rFont val="Arial Narrow"/>
        <family val="2"/>
        <charset val="238"/>
      </rPr>
      <t xml:space="preserve"> )
</t>
    </r>
  </si>
  <si>
    <r>
      <t>Izdelava</t>
    </r>
    <r>
      <rPr>
        <b/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b/>
        <i/>
        <sz val="10"/>
        <rFont val="Arial Narrow"/>
        <family val="2"/>
        <charset val="238"/>
      </rPr>
      <t>rdeče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20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 xml:space="preserve">5233 </t>
    </r>
    <r>
      <rPr>
        <sz val="10"/>
        <rFont val="Arial Narrow"/>
        <family val="2"/>
        <charset val="238"/>
      </rPr>
      <t xml:space="preserve">)
</t>
    </r>
  </si>
  <si>
    <r>
      <t>Doplačilo za izdelavo</t>
    </r>
    <r>
      <rPr>
        <b/>
        <i/>
        <sz val="10"/>
        <color theme="1"/>
        <rFont val="Arial Narrow"/>
        <family val="2"/>
        <charset val="238"/>
      </rPr>
      <t xml:space="preserve"> prekinjenih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debeloslojnih</t>
    </r>
    <r>
      <rPr>
        <sz val="10"/>
        <color theme="1"/>
        <rFont val="Arial Narrow"/>
        <family val="2"/>
        <charset val="238"/>
      </rPr>
      <t xml:space="preserve"> vzdolžnih označb na vozišču, </t>
    </r>
    <r>
      <rPr>
        <b/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12 cm </t>
    </r>
    <r>
      <rPr>
        <i/>
        <sz val="10"/>
        <color theme="1"/>
        <rFont val="Arial Narrow"/>
        <family val="2"/>
        <charset val="238"/>
      </rPr>
      <t xml:space="preserve"> ( 5121, 5121-3 )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</si>
  <si>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Barvanje </t>
    </r>
    <r>
      <rPr>
        <b/>
        <i/>
        <sz val="10"/>
        <color theme="1"/>
        <rFont val="Arial Narrow"/>
        <family val="2"/>
        <charset val="238"/>
      </rPr>
      <t xml:space="preserve">hodnika za pešce </t>
    </r>
    <r>
      <rPr>
        <sz val="10"/>
        <color theme="1"/>
        <rFont val="Arial Narrow"/>
        <family val="2"/>
        <charset val="238"/>
      </rPr>
      <t xml:space="preserve">med talnimi črtami, z </t>
    </r>
    <r>
      <rPr>
        <b/>
        <i/>
        <sz val="10"/>
        <color theme="1"/>
        <rFont val="Arial Narrow"/>
        <family val="2"/>
        <charset val="238"/>
      </rPr>
      <t>enokomponentno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modro barvo</t>
    </r>
    <r>
      <rPr>
        <sz val="10"/>
        <color theme="1"/>
        <rFont val="Arial Narrow"/>
        <family val="2"/>
        <charset val="238"/>
      </rPr>
      <t xml:space="preserve">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color theme="1"/>
        <rFont val="Arial Narrow"/>
        <family val="2"/>
        <charset val="238"/>
      </rPr>
      <t>200 µm</t>
    </r>
    <r>
      <rPr>
        <sz val="10"/>
        <color theme="1"/>
        <rFont val="Arial Narrow"/>
        <family val="2"/>
        <charset val="238"/>
      </rPr>
      <t xml:space="preserve">  (</t>
    </r>
    <r>
      <rPr>
        <i/>
        <sz val="10"/>
        <color theme="1"/>
        <rFont val="Arial Narrow"/>
        <family val="2"/>
        <charset val="238"/>
      </rPr>
      <t>med T7 in T12</t>
    </r>
    <r>
      <rPr>
        <sz val="10"/>
        <color theme="1"/>
        <rFont val="Arial Narrow"/>
        <family val="2"/>
        <charset val="238"/>
      </rPr>
      <t>)</t>
    </r>
    <r>
      <rPr>
        <i/>
        <sz val="10"/>
        <color theme="1"/>
        <rFont val="Arial Narrow"/>
        <family val="2"/>
        <charset val="238"/>
      </rPr>
      <t xml:space="preserve">
</t>
    </r>
  </si>
  <si>
    <r>
      <t>Rekonstrukcija ceste "</t>
    </r>
    <r>
      <rPr>
        <b/>
        <sz val="12"/>
        <color theme="1"/>
        <rFont val="Arial Narrow"/>
        <family val="2"/>
        <charset val="238"/>
      </rPr>
      <t>Pot heroja Trtnika, LZ 212433</t>
    </r>
    <r>
      <rPr>
        <sz val="12"/>
        <color theme="1"/>
        <rFont val="Arial Narrow"/>
        <family val="2"/>
        <charset val="238"/>
      </rPr>
      <t>" v dolžini cca. 600m, z ureditvijo vozišča, kolesarskih pasov, pločnika in vzdolžnih parkirišč</t>
    </r>
    <r>
      <rPr>
        <b/>
        <sz val="12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</si>
  <si>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>dvokomponentne hladne plastike (v teksturi čepov)</t>
    </r>
    <r>
      <rPr>
        <sz val="10"/>
        <rFont val="Arial Narrow"/>
        <family val="2"/>
        <charset val="238"/>
      </rPr>
      <t xml:space="preserve"> za nanos </t>
    </r>
    <r>
      <rPr>
        <b/>
        <i/>
        <sz val="10"/>
        <rFont val="Arial Narrow"/>
        <family val="2"/>
        <charset val="238"/>
      </rPr>
      <t>15 cm robnih taktilnih linij</t>
    </r>
    <r>
      <rPr>
        <sz val="10"/>
        <rFont val="Arial Narrow"/>
        <family val="2"/>
        <charset val="238"/>
      </rPr>
      <t xml:space="preserve">, trajne označbe na vozišču, vključno s predhodnim </t>
    </r>
    <r>
      <rPr>
        <b/>
        <i/>
        <sz val="10"/>
        <rFont val="Arial Narrow"/>
        <family val="2"/>
        <charset val="238"/>
      </rPr>
      <t>premazom podlage</t>
    </r>
    <r>
      <rPr>
        <sz val="10"/>
        <rFont val="Arial Narrow"/>
        <family val="2"/>
        <charset val="238"/>
      </rPr>
      <t xml:space="preserve">, posamezna površina označbe </t>
    </r>
    <r>
      <rPr>
        <b/>
        <i/>
        <sz val="10"/>
        <rFont val="Arial Narrow"/>
        <family val="2"/>
        <charset val="238"/>
      </rPr>
      <t xml:space="preserve">od 0,6 do 1,0 m2  </t>
    </r>
    <r>
      <rPr>
        <i/>
        <sz val="10"/>
        <rFont val="Arial Narrow"/>
        <family val="2"/>
        <charset val="238"/>
      </rPr>
      <t xml:space="preserve">( robna taktilna linija - ob hodniku za pešce 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</si>
</sst>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55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/>
    <xf numFmtId="0" fontId="4" fillId="4" borderId="8" xfId="0" applyFont="1" applyFill="1" applyBorder="1" applyAlignment="1">
      <alignment horizontal="left" vertical="top" wrapText="1"/>
    </xf>
    <xf numFmtId="0" fontId="19" fillId="0" borderId="0" xfId="0" applyFont="1"/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10" fillId="6" borderId="12" xfId="0" applyNumberFormat="1" applyFont="1" applyFill="1" applyBorder="1" applyAlignment="1">
      <alignment vertical="top"/>
    </xf>
    <xf numFmtId="2" fontId="22" fillId="10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3" borderId="12" xfId="0" applyNumberFormat="1" applyFont="1" applyFill="1" applyBorder="1" applyAlignment="1">
      <alignment vertical="top"/>
    </xf>
    <xf numFmtId="2" fontId="22" fillId="13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8" borderId="0" xfId="0" applyNumberFormat="1" applyFont="1" applyFill="1" applyAlignment="1">
      <alignment vertical="top"/>
    </xf>
    <xf numFmtId="2" fontId="22" fillId="13" borderId="0" xfId="0" applyNumberFormat="1" applyFont="1" applyFill="1" applyAlignment="1">
      <alignment vertical="top"/>
    </xf>
    <xf numFmtId="2" fontId="22" fillId="11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3" borderId="0" xfId="0" applyNumberFormat="1" applyFont="1" applyFill="1" applyAlignment="1">
      <alignment vertical="top"/>
    </xf>
    <xf numFmtId="2" fontId="10" fillId="8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24" fillId="12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3" fillId="5" borderId="0" xfId="0" applyNumberFormat="1" applyFont="1" applyFill="1" applyAlignment="1" applyProtection="1">
      <alignment vertical="top"/>
    </xf>
    <xf numFmtId="2" fontId="22" fillId="6" borderId="0" xfId="0" applyNumberFormat="1" applyFont="1" applyFill="1" applyAlignment="1" applyProtection="1">
      <alignment vertical="top"/>
    </xf>
    <xf numFmtId="2" fontId="22" fillId="10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10" fillId="10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3" fillId="13" borderId="0" xfId="0" applyNumberFormat="1" applyFont="1" applyFill="1" applyAlignment="1" applyProtection="1">
      <alignment vertical="top"/>
    </xf>
    <xf numFmtId="2" fontId="22" fillId="13" borderId="0" xfId="0" applyNumberFormat="1" applyFont="1" applyFill="1" applyAlignment="1" applyProtection="1">
      <alignment vertical="top"/>
    </xf>
    <xf numFmtId="2" fontId="10" fillId="8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22" fillId="8" borderId="0" xfId="0" applyNumberFormat="1" applyFont="1" applyFill="1" applyAlignment="1" applyProtection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2" fontId="21" fillId="6" borderId="0" xfId="0" applyNumberFormat="1" applyFont="1" applyFill="1" applyAlignment="1">
      <alignment vertical="top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Alignment="1" applyProtection="1">
      <alignment horizontal="left" vertical="top" wrapText="1"/>
    </xf>
    <xf numFmtId="0" fontId="12" fillId="0" borderId="0" xfId="0" applyFont="1" applyFill="1" applyProtection="1"/>
    <xf numFmtId="0" fontId="13" fillId="0" borderId="0" xfId="0" applyFont="1" applyFill="1" applyProtection="1"/>
    <xf numFmtId="0" fontId="12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wrapText="1"/>
    </xf>
    <xf numFmtId="0" fontId="13" fillId="0" borderId="0" xfId="0" applyFont="1" applyFill="1" applyAlignment="1" applyProtection="1"/>
    <xf numFmtId="0" fontId="14" fillId="0" borderId="0" xfId="0" applyFont="1" applyFill="1" applyProtection="1"/>
    <xf numFmtId="0" fontId="15" fillId="0" borderId="0" xfId="0" applyFont="1" applyFill="1" applyProtection="1"/>
    <xf numFmtId="0" fontId="13" fillId="0" borderId="4" xfId="0" applyFont="1" applyFill="1" applyBorder="1" applyProtection="1"/>
    <xf numFmtId="0" fontId="13" fillId="0" borderId="5" xfId="0" applyFont="1" applyFill="1" applyBorder="1" applyProtection="1"/>
    <xf numFmtId="164" fontId="13" fillId="0" borderId="6" xfId="0" applyNumberFormat="1" applyFont="1" applyFill="1" applyBorder="1" applyProtection="1"/>
    <xf numFmtId="164" fontId="13" fillId="0" borderId="0" xfId="0" applyNumberFormat="1" applyFont="1" applyFill="1" applyProtection="1"/>
    <xf numFmtId="0" fontId="13" fillId="0" borderId="0" xfId="0" applyFont="1" applyFill="1" applyAlignment="1" applyProtection="1">
      <alignment horizontal="right"/>
    </xf>
    <xf numFmtId="2" fontId="13" fillId="0" borderId="0" xfId="0" applyNumberFormat="1" applyFont="1" applyFill="1" applyProtection="1"/>
    <xf numFmtId="0" fontId="15" fillId="0" borderId="4" xfId="0" applyFont="1" applyFill="1" applyBorder="1" applyProtection="1"/>
    <xf numFmtId="164" fontId="15" fillId="0" borderId="6" xfId="0" applyNumberFormat="1" applyFont="1" applyFill="1" applyBorder="1" applyProtection="1"/>
    <xf numFmtId="2" fontId="17" fillId="0" borderId="7" xfId="0" applyNumberFormat="1" applyFont="1" applyFill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center" vertical="top" wrapText="1"/>
      <protection locked="0"/>
    </xf>
    <xf numFmtId="0" fontId="19" fillId="0" borderId="3" xfId="0" applyFont="1" applyBorder="1" applyAlignment="1" applyProtection="1">
      <alignment horizontal="left" vertical="top" wrapText="1"/>
    </xf>
    <xf numFmtId="0" fontId="19" fillId="0" borderId="0" xfId="0" applyFont="1" applyAlignment="1" applyProtection="1">
      <alignment wrapText="1"/>
    </xf>
    <xf numFmtId="49" fontId="19" fillId="0" borderId="3" xfId="0" applyNumberFormat="1" applyFont="1" applyBorder="1" applyAlignment="1" applyProtection="1">
      <alignment vertical="top" wrapText="1"/>
    </xf>
    <xf numFmtId="0" fontId="19" fillId="0" borderId="3" xfId="0" applyFont="1" applyBorder="1" applyAlignment="1" applyProtection="1">
      <alignment horizontal="center" vertical="top" wrapText="1"/>
    </xf>
    <xf numFmtId="4" fontId="20" fillId="0" borderId="0" xfId="0" applyNumberFormat="1" applyFont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/>
    </xf>
    <xf numFmtId="4" fontId="2" fillId="0" borderId="0" xfId="0" applyNumberFormat="1" applyFont="1" applyBorder="1" applyAlignment="1" applyProtection="1">
      <alignment horizontal="center" vertical="top" wrapText="1"/>
    </xf>
    <xf numFmtId="0" fontId="19" fillId="0" borderId="0" xfId="0" applyFont="1" applyProtection="1"/>
    <xf numFmtId="4" fontId="19" fillId="0" borderId="3" xfId="0" applyNumberFormat="1" applyFont="1" applyBorder="1" applyAlignment="1" applyProtection="1">
      <alignment horizontal="center" vertical="top" wrapText="1"/>
      <protection locked="0"/>
    </xf>
    <xf numFmtId="2" fontId="9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 wrapText="1"/>
    </xf>
    <xf numFmtId="4" fontId="5" fillId="0" borderId="0" xfId="0" applyNumberFormat="1" applyFont="1" applyFill="1" applyAlignment="1" applyProtection="1">
      <alignment horizontal="center" vertical="top" wrapText="1"/>
    </xf>
    <xf numFmtId="2" fontId="9" fillId="0" borderId="0" xfId="0" applyNumberFormat="1" applyFont="1" applyFill="1" applyAlignment="1" applyProtection="1">
      <alignment horizontal="center" wrapText="1"/>
    </xf>
    <xf numFmtId="2" fontId="9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left" wrapText="1"/>
    </xf>
    <xf numFmtId="2" fontId="7" fillId="0" borderId="0" xfId="0" applyNumberFormat="1" applyFont="1" applyFill="1" applyBorder="1" applyAlignment="1" applyProtection="1">
      <alignment horizontal="center" wrapText="1"/>
    </xf>
    <xf numFmtId="0" fontId="2" fillId="0" borderId="3" xfId="0" applyFont="1" applyFill="1" applyBorder="1" applyAlignment="1" applyProtection="1">
      <alignment horizontal="left" vertical="top" wrapText="1"/>
    </xf>
    <xf numFmtId="2" fontId="5" fillId="0" borderId="0" xfId="0" applyNumberFormat="1" applyFont="1" applyAlignment="1" applyProtection="1">
      <alignment horizontal="center" vertical="top" wrapText="1"/>
    </xf>
    <xf numFmtId="0" fontId="16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26" fillId="0" borderId="0" xfId="0" applyFont="1" applyFill="1" applyAlignment="1" applyProtection="1">
      <alignment horizontal="left" vertical="top" wrapText="1"/>
    </xf>
    <xf numFmtId="0" fontId="15" fillId="14" borderId="0" xfId="0" applyFont="1" applyFill="1" applyAlignment="1" applyProtection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10" fillId="0" borderId="0" xfId="0" applyNumberFormat="1" applyFont="1" applyFill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15" fillId="0" borderId="0" xfId="0" applyNumberFormat="1" applyFont="1" applyAlignment="1">
      <alignment horizontal="left" vertical="top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0" fontId="19" fillId="0" borderId="3" xfId="0" applyFont="1" applyBorder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100" customWidth="1"/>
    <col min="2" max="2" width="10.42578125" style="100" customWidth="1"/>
    <col min="3" max="4" width="9.140625" style="100"/>
    <col min="5" max="5" width="8.28515625" style="100" customWidth="1"/>
    <col min="6" max="6" width="9.5703125" style="100" customWidth="1"/>
    <col min="7" max="7" width="3.28515625" style="100" customWidth="1"/>
    <col min="8" max="8" width="19.85546875" style="100" customWidth="1"/>
    <col min="9" max="9" width="7.28515625" style="100" customWidth="1"/>
    <col min="10" max="10" width="12.7109375" style="100" customWidth="1"/>
    <col min="11" max="262" width="9.140625" style="100"/>
    <col min="263" max="263" width="7.42578125" style="100" customWidth="1"/>
    <col min="264" max="264" width="20.42578125" style="100" customWidth="1"/>
    <col min="265" max="265" width="17.140625" style="100" customWidth="1"/>
    <col min="266" max="266" width="12.7109375" style="100" customWidth="1"/>
    <col min="267" max="518" width="9.140625" style="100"/>
    <col min="519" max="519" width="7.42578125" style="100" customWidth="1"/>
    <col min="520" max="520" width="20.42578125" style="100" customWidth="1"/>
    <col min="521" max="521" width="17.140625" style="100" customWidth="1"/>
    <col min="522" max="522" width="12.7109375" style="100" customWidth="1"/>
    <col min="523" max="774" width="9.140625" style="100"/>
    <col min="775" max="775" width="7.42578125" style="100" customWidth="1"/>
    <col min="776" max="776" width="20.42578125" style="100" customWidth="1"/>
    <col min="777" max="777" width="17.140625" style="100" customWidth="1"/>
    <col min="778" max="778" width="12.7109375" style="100" customWidth="1"/>
    <col min="779" max="1030" width="9.140625" style="100"/>
    <col min="1031" max="1031" width="7.42578125" style="100" customWidth="1"/>
    <col min="1032" max="1032" width="20.42578125" style="100" customWidth="1"/>
    <col min="1033" max="1033" width="17.140625" style="100" customWidth="1"/>
    <col min="1034" max="1034" width="12.7109375" style="100" customWidth="1"/>
    <col min="1035" max="1286" width="9.140625" style="100"/>
    <col min="1287" max="1287" width="7.42578125" style="100" customWidth="1"/>
    <col min="1288" max="1288" width="20.42578125" style="100" customWidth="1"/>
    <col min="1289" max="1289" width="17.140625" style="100" customWidth="1"/>
    <col min="1290" max="1290" width="12.7109375" style="100" customWidth="1"/>
    <col min="1291" max="1542" width="9.140625" style="100"/>
    <col min="1543" max="1543" width="7.42578125" style="100" customWidth="1"/>
    <col min="1544" max="1544" width="20.42578125" style="100" customWidth="1"/>
    <col min="1545" max="1545" width="17.140625" style="100" customWidth="1"/>
    <col min="1546" max="1546" width="12.7109375" style="100" customWidth="1"/>
    <col min="1547" max="1798" width="9.140625" style="100"/>
    <col min="1799" max="1799" width="7.42578125" style="100" customWidth="1"/>
    <col min="1800" max="1800" width="20.42578125" style="100" customWidth="1"/>
    <col min="1801" max="1801" width="17.140625" style="100" customWidth="1"/>
    <col min="1802" max="1802" width="12.7109375" style="100" customWidth="1"/>
    <col min="1803" max="2054" width="9.140625" style="100"/>
    <col min="2055" max="2055" width="7.42578125" style="100" customWidth="1"/>
    <col min="2056" max="2056" width="20.42578125" style="100" customWidth="1"/>
    <col min="2057" max="2057" width="17.140625" style="100" customWidth="1"/>
    <col min="2058" max="2058" width="12.7109375" style="100" customWidth="1"/>
    <col min="2059" max="2310" width="9.140625" style="100"/>
    <col min="2311" max="2311" width="7.42578125" style="100" customWidth="1"/>
    <col min="2312" max="2312" width="20.42578125" style="100" customWidth="1"/>
    <col min="2313" max="2313" width="17.140625" style="100" customWidth="1"/>
    <col min="2314" max="2314" width="12.7109375" style="100" customWidth="1"/>
    <col min="2315" max="2566" width="9.140625" style="100"/>
    <col min="2567" max="2567" width="7.42578125" style="100" customWidth="1"/>
    <col min="2568" max="2568" width="20.42578125" style="100" customWidth="1"/>
    <col min="2569" max="2569" width="17.140625" style="100" customWidth="1"/>
    <col min="2570" max="2570" width="12.7109375" style="100" customWidth="1"/>
    <col min="2571" max="2822" width="9.140625" style="100"/>
    <col min="2823" max="2823" width="7.42578125" style="100" customWidth="1"/>
    <col min="2824" max="2824" width="20.42578125" style="100" customWidth="1"/>
    <col min="2825" max="2825" width="17.140625" style="100" customWidth="1"/>
    <col min="2826" max="2826" width="12.7109375" style="100" customWidth="1"/>
    <col min="2827" max="3078" width="9.140625" style="100"/>
    <col min="3079" max="3079" width="7.42578125" style="100" customWidth="1"/>
    <col min="3080" max="3080" width="20.42578125" style="100" customWidth="1"/>
    <col min="3081" max="3081" width="17.140625" style="100" customWidth="1"/>
    <col min="3082" max="3082" width="12.7109375" style="100" customWidth="1"/>
    <col min="3083" max="3334" width="9.140625" style="100"/>
    <col min="3335" max="3335" width="7.42578125" style="100" customWidth="1"/>
    <col min="3336" max="3336" width="20.42578125" style="100" customWidth="1"/>
    <col min="3337" max="3337" width="17.140625" style="100" customWidth="1"/>
    <col min="3338" max="3338" width="12.7109375" style="100" customWidth="1"/>
    <col min="3339" max="3590" width="9.140625" style="100"/>
    <col min="3591" max="3591" width="7.42578125" style="100" customWidth="1"/>
    <col min="3592" max="3592" width="20.42578125" style="100" customWidth="1"/>
    <col min="3593" max="3593" width="17.140625" style="100" customWidth="1"/>
    <col min="3594" max="3594" width="12.7109375" style="100" customWidth="1"/>
    <col min="3595" max="3846" width="9.140625" style="100"/>
    <col min="3847" max="3847" width="7.42578125" style="100" customWidth="1"/>
    <col min="3848" max="3848" width="20.42578125" style="100" customWidth="1"/>
    <col min="3849" max="3849" width="17.140625" style="100" customWidth="1"/>
    <col min="3850" max="3850" width="12.7109375" style="100" customWidth="1"/>
    <col min="3851" max="4102" width="9.140625" style="100"/>
    <col min="4103" max="4103" width="7.42578125" style="100" customWidth="1"/>
    <col min="4104" max="4104" width="20.42578125" style="100" customWidth="1"/>
    <col min="4105" max="4105" width="17.140625" style="100" customWidth="1"/>
    <col min="4106" max="4106" width="12.7109375" style="100" customWidth="1"/>
    <col min="4107" max="4358" width="9.140625" style="100"/>
    <col min="4359" max="4359" width="7.42578125" style="100" customWidth="1"/>
    <col min="4360" max="4360" width="20.42578125" style="100" customWidth="1"/>
    <col min="4361" max="4361" width="17.140625" style="100" customWidth="1"/>
    <col min="4362" max="4362" width="12.7109375" style="100" customWidth="1"/>
    <col min="4363" max="4614" width="9.140625" style="100"/>
    <col min="4615" max="4615" width="7.42578125" style="100" customWidth="1"/>
    <col min="4616" max="4616" width="20.42578125" style="100" customWidth="1"/>
    <col min="4617" max="4617" width="17.140625" style="100" customWidth="1"/>
    <col min="4618" max="4618" width="12.7109375" style="100" customWidth="1"/>
    <col min="4619" max="4870" width="9.140625" style="100"/>
    <col min="4871" max="4871" width="7.42578125" style="100" customWidth="1"/>
    <col min="4872" max="4872" width="20.42578125" style="100" customWidth="1"/>
    <col min="4873" max="4873" width="17.140625" style="100" customWidth="1"/>
    <col min="4874" max="4874" width="12.7109375" style="100" customWidth="1"/>
    <col min="4875" max="5126" width="9.140625" style="100"/>
    <col min="5127" max="5127" width="7.42578125" style="100" customWidth="1"/>
    <col min="5128" max="5128" width="20.42578125" style="100" customWidth="1"/>
    <col min="5129" max="5129" width="17.140625" style="100" customWidth="1"/>
    <col min="5130" max="5130" width="12.7109375" style="100" customWidth="1"/>
    <col min="5131" max="5382" width="9.140625" style="100"/>
    <col min="5383" max="5383" width="7.42578125" style="100" customWidth="1"/>
    <col min="5384" max="5384" width="20.42578125" style="100" customWidth="1"/>
    <col min="5385" max="5385" width="17.140625" style="100" customWidth="1"/>
    <col min="5386" max="5386" width="12.7109375" style="100" customWidth="1"/>
    <col min="5387" max="5638" width="9.140625" style="100"/>
    <col min="5639" max="5639" width="7.42578125" style="100" customWidth="1"/>
    <col min="5640" max="5640" width="20.42578125" style="100" customWidth="1"/>
    <col min="5641" max="5641" width="17.140625" style="100" customWidth="1"/>
    <col min="5642" max="5642" width="12.7109375" style="100" customWidth="1"/>
    <col min="5643" max="5894" width="9.140625" style="100"/>
    <col min="5895" max="5895" width="7.42578125" style="100" customWidth="1"/>
    <col min="5896" max="5896" width="20.42578125" style="100" customWidth="1"/>
    <col min="5897" max="5897" width="17.140625" style="100" customWidth="1"/>
    <col min="5898" max="5898" width="12.7109375" style="100" customWidth="1"/>
    <col min="5899" max="6150" width="9.140625" style="100"/>
    <col min="6151" max="6151" width="7.42578125" style="100" customWidth="1"/>
    <col min="6152" max="6152" width="20.42578125" style="100" customWidth="1"/>
    <col min="6153" max="6153" width="17.140625" style="100" customWidth="1"/>
    <col min="6154" max="6154" width="12.7109375" style="100" customWidth="1"/>
    <col min="6155" max="6406" width="9.140625" style="100"/>
    <col min="6407" max="6407" width="7.42578125" style="100" customWidth="1"/>
    <col min="6408" max="6408" width="20.42578125" style="100" customWidth="1"/>
    <col min="6409" max="6409" width="17.140625" style="100" customWidth="1"/>
    <col min="6410" max="6410" width="12.7109375" style="100" customWidth="1"/>
    <col min="6411" max="6662" width="9.140625" style="100"/>
    <col min="6663" max="6663" width="7.42578125" style="100" customWidth="1"/>
    <col min="6664" max="6664" width="20.42578125" style="100" customWidth="1"/>
    <col min="6665" max="6665" width="17.140625" style="100" customWidth="1"/>
    <col min="6666" max="6666" width="12.7109375" style="100" customWidth="1"/>
    <col min="6667" max="6918" width="9.140625" style="100"/>
    <col min="6919" max="6919" width="7.42578125" style="100" customWidth="1"/>
    <col min="6920" max="6920" width="20.42578125" style="100" customWidth="1"/>
    <col min="6921" max="6921" width="17.140625" style="100" customWidth="1"/>
    <col min="6922" max="6922" width="12.7109375" style="100" customWidth="1"/>
    <col min="6923" max="7174" width="9.140625" style="100"/>
    <col min="7175" max="7175" width="7.42578125" style="100" customWidth="1"/>
    <col min="7176" max="7176" width="20.42578125" style="100" customWidth="1"/>
    <col min="7177" max="7177" width="17.140625" style="100" customWidth="1"/>
    <col min="7178" max="7178" width="12.7109375" style="100" customWidth="1"/>
    <col min="7179" max="7430" width="9.140625" style="100"/>
    <col min="7431" max="7431" width="7.42578125" style="100" customWidth="1"/>
    <col min="7432" max="7432" width="20.42578125" style="100" customWidth="1"/>
    <col min="7433" max="7433" width="17.140625" style="100" customWidth="1"/>
    <col min="7434" max="7434" width="12.7109375" style="100" customWidth="1"/>
    <col min="7435" max="7686" width="9.140625" style="100"/>
    <col min="7687" max="7687" width="7.42578125" style="100" customWidth="1"/>
    <col min="7688" max="7688" width="20.42578125" style="100" customWidth="1"/>
    <col min="7689" max="7689" width="17.140625" style="100" customWidth="1"/>
    <col min="7690" max="7690" width="12.7109375" style="100" customWidth="1"/>
    <col min="7691" max="7942" width="9.140625" style="100"/>
    <col min="7943" max="7943" width="7.42578125" style="100" customWidth="1"/>
    <col min="7944" max="7944" width="20.42578125" style="100" customWidth="1"/>
    <col min="7945" max="7945" width="17.140625" style="100" customWidth="1"/>
    <col min="7946" max="7946" width="12.7109375" style="100" customWidth="1"/>
    <col min="7947" max="8198" width="9.140625" style="100"/>
    <col min="8199" max="8199" width="7.42578125" style="100" customWidth="1"/>
    <col min="8200" max="8200" width="20.42578125" style="100" customWidth="1"/>
    <col min="8201" max="8201" width="17.140625" style="100" customWidth="1"/>
    <col min="8202" max="8202" width="12.7109375" style="100" customWidth="1"/>
    <col min="8203" max="8454" width="9.140625" style="100"/>
    <col min="8455" max="8455" width="7.42578125" style="100" customWidth="1"/>
    <col min="8456" max="8456" width="20.42578125" style="100" customWidth="1"/>
    <col min="8457" max="8457" width="17.140625" style="100" customWidth="1"/>
    <col min="8458" max="8458" width="12.7109375" style="100" customWidth="1"/>
    <col min="8459" max="8710" width="9.140625" style="100"/>
    <col min="8711" max="8711" width="7.42578125" style="100" customWidth="1"/>
    <col min="8712" max="8712" width="20.42578125" style="100" customWidth="1"/>
    <col min="8713" max="8713" width="17.140625" style="100" customWidth="1"/>
    <col min="8714" max="8714" width="12.7109375" style="100" customWidth="1"/>
    <col min="8715" max="8966" width="9.140625" style="100"/>
    <col min="8967" max="8967" width="7.42578125" style="100" customWidth="1"/>
    <col min="8968" max="8968" width="20.42578125" style="100" customWidth="1"/>
    <col min="8969" max="8969" width="17.140625" style="100" customWidth="1"/>
    <col min="8970" max="8970" width="12.7109375" style="100" customWidth="1"/>
    <col min="8971" max="9222" width="9.140625" style="100"/>
    <col min="9223" max="9223" width="7.42578125" style="100" customWidth="1"/>
    <col min="9224" max="9224" width="20.42578125" style="100" customWidth="1"/>
    <col min="9225" max="9225" width="17.140625" style="100" customWidth="1"/>
    <col min="9226" max="9226" width="12.7109375" style="100" customWidth="1"/>
    <col min="9227" max="9478" width="9.140625" style="100"/>
    <col min="9479" max="9479" width="7.42578125" style="100" customWidth="1"/>
    <col min="9480" max="9480" width="20.42578125" style="100" customWidth="1"/>
    <col min="9481" max="9481" width="17.140625" style="100" customWidth="1"/>
    <col min="9482" max="9482" width="12.7109375" style="100" customWidth="1"/>
    <col min="9483" max="9734" width="9.140625" style="100"/>
    <col min="9735" max="9735" width="7.42578125" style="100" customWidth="1"/>
    <col min="9736" max="9736" width="20.42578125" style="100" customWidth="1"/>
    <col min="9737" max="9737" width="17.140625" style="100" customWidth="1"/>
    <col min="9738" max="9738" width="12.7109375" style="100" customWidth="1"/>
    <col min="9739" max="9990" width="9.140625" style="100"/>
    <col min="9991" max="9991" width="7.42578125" style="100" customWidth="1"/>
    <col min="9992" max="9992" width="20.42578125" style="100" customWidth="1"/>
    <col min="9993" max="9993" width="17.140625" style="100" customWidth="1"/>
    <col min="9994" max="9994" width="12.7109375" style="100" customWidth="1"/>
    <col min="9995" max="10246" width="9.140625" style="100"/>
    <col min="10247" max="10247" width="7.42578125" style="100" customWidth="1"/>
    <col min="10248" max="10248" width="20.42578125" style="100" customWidth="1"/>
    <col min="10249" max="10249" width="17.140625" style="100" customWidth="1"/>
    <col min="10250" max="10250" width="12.7109375" style="100" customWidth="1"/>
    <col min="10251" max="10502" width="9.140625" style="100"/>
    <col min="10503" max="10503" width="7.42578125" style="100" customWidth="1"/>
    <col min="10504" max="10504" width="20.42578125" style="100" customWidth="1"/>
    <col min="10505" max="10505" width="17.140625" style="100" customWidth="1"/>
    <col min="10506" max="10506" width="12.7109375" style="100" customWidth="1"/>
    <col min="10507" max="10758" width="9.140625" style="100"/>
    <col min="10759" max="10759" width="7.42578125" style="100" customWidth="1"/>
    <col min="10760" max="10760" width="20.42578125" style="100" customWidth="1"/>
    <col min="10761" max="10761" width="17.140625" style="100" customWidth="1"/>
    <col min="10762" max="10762" width="12.7109375" style="100" customWidth="1"/>
    <col min="10763" max="11014" width="9.140625" style="100"/>
    <col min="11015" max="11015" width="7.42578125" style="100" customWidth="1"/>
    <col min="11016" max="11016" width="20.42578125" style="100" customWidth="1"/>
    <col min="11017" max="11017" width="17.140625" style="100" customWidth="1"/>
    <col min="11018" max="11018" width="12.7109375" style="100" customWidth="1"/>
    <col min="11019" max="11270" width="9.140625" style="100"/>
    <col min="11271" max="11271" width="7.42578125" style="100" customWidth="1"/>
    <col min="11272" max="11272" width="20.42578125" style="100" customWidth="1"/>
    <col min="11273" max="11273" width="17.140625" style="100" customWidth="1"/>
    <col min="11274" max="11274" width="12.7109375" style="100" customWidth="1"/>
    <col min="11275" max="11526" width="9.140625" style="100"/>
    <col min="11527" max="11527" width="7.42578125" style="100" customWidth="1"/>
    <col min="11528" max="11528" width="20.42578125" style="100" customWidth="1"/>
    <col min="11529" max="11529" width="17.140625" style="100" customWidth="1"/>
    <col min="11530" max="11530" width="12.7109375" style="100" customWidth="1"/>
    <col min="11531" max="11782" width="9.140625" style="100"/>
    <col min="11783" max="11783" width="7.42578125" style="100" customWidth="1"/>
    <col min="11784" max="11784" width="20.42578125" style="100" customWidth="1"/>
    <col min="11785" max="11785" width="17.140625" style="100" customWidth="1"/>
    <col min="11786" max="11786" width="12.7109375" style="100" customWidth="1"/>
    <col min="11787" max="12038" width="9.140625" style="100"/>
    <col min="12039" max="12039" width="7.42578125" style="100" customWidth="1"/>
    <col min="12040" max="12040" width="20.42578125" style="100" customWidth="1"/>
    <col min="12041" max="12041" width="17.140625" style="100" customWidth="1"/>
    <col min="12042" max="12042" width="12.7109375" style="100" customWidth="1"/>
    <col min="12043" max="12294" width="9.140625" style="100"/>
    <col min="12295" max="12295" width="7.42578125" style="100" customWidth="1"/>
    <col min="12296" max="12296" width="20.42578125" style="100" customWidth="1"/>
    <col min="12297" max="12297" width="17.140625" style="100" customWidth="1"/>
    <col min="12298" max="12298" width="12.7109375" style="100" customWidth="1"/>
    <col min="12299" max="12550" width="9.140625" style="100"/>
    <col min="12551" max="12551" width="7.42578125" style="100" customWidth="1"/>
    <col min="12552" max="12552" width="20.42578125" style="100" customWidth="1"/>
    <col min="12553" max="12553" width="17.140625" style="100" customWidth="1"/>
    <col min="12554" max="12554" width="12.7109375" style="100" customWidth="1"/>
    <col min="12555" max="12806" width="9.140625" style="100"/>
    <col min="12807" max="12807" width="7.42578125" style="100" customWidth="1"/>
    <col min="12808" max="12808" width="20.42578125" style="100" customWidth="1"/>
    <col min="12809" max="12809" width="17.140625" style="100" customWidth="1"/>
    <col min="12810" max="12810" width="12.7109375" style="100" customWidth="1"/>
    <col min="12811" max="13062" width="9.140625" style="100"/>
    <col min="13063" max="13063" width="7.42578125" style="100" customWidth="1"/>
    <col min="13064" max="13064" width="20.42578125" style="100" customWidth="1"/>
    <col min="13065" max="13065" width="17.140625" style="100" customWidth="1"/>
    <col min="13066" max="13066" width="12.7109375" style="100" customWidth="1"/>
    <col min="13067" max="13318" width="9.140625" style="100"/>
    <col min="13319" max="13319" width="7.42578125" style="100" customWidth="1"/>
    <col min="13320" max="13320" width="20.42578125" style="100" customWidth="1"/>
    <col min="13321" max="13321" width="17.140625" style="100" customWidth="1"/>
    <col min="13322" max="13322" width="12.7109375" style="100" customWidth="1"/>
    <col min="13323" max="13574" width="9.140625" style="100"/>
    <col min="13575" max="13575" width="7.42578125" style="100" customWidth="1"/>
    <col min="13576" max="13576" width="20.42578125" style="100" customWidth="1"/>
    <col min="13577" max="13577" width="17.140625" style="100" customWidth="1"/>
    <col min="13578" max="13578" width="12.7109375" style="100" customWidth="1"/>
    <col min="13579" max="13830" width="9.140625" style="100"/>
    <col min="13831" max="13831" width="7.42578125" style="100" customWidth="1"/>
    <col min="13832" max="13832" width="20.42578125" style="100" customWidth="1"/>
    <col min="13833" max="13833" width="17.140625" style="100" customWidth="1"/>
    <col min="13834" max="13834" width="12.7109375" style="100" customWidth="1"/>
    <col min="13835" max="14086" width="9.140625" style="100"/>
    <col min="14087" max="14087" width="7.42578125" style="100" customWidth="1"/>
    <col min="14088" max="14088" width="20.42578125" style="100" customWidth="1"/>
    <col min="14089" max="14089" width="17.140625" style="100" customWidth="1"/>
    <col min="14090" max="14090" width="12.7109375" style="100" customWidth="1"/>
    <col min="14091" max="14342" width="9.140625" style="100"/>
    <col min="14343" max="14343" width="7.42578125" style="100" customWidth="1"/>
    <col min="14344" max="14344" width="20.42578125" style="100" customWidth="1"/>
    <col min="14345" max="14345" width="17.140625" style="100" customWidth="1"/>
    <col min="14346" max="14346" width="12.7109375" style="100" customWidth="1"/>
    <col min="14347" max="14598" width="9.140625" style="100"/>
    <col min="14599" max="14599" width="7.42578125" style="100" customWidth="1"/>
    <col min="14600" max="14600" width="20.42578125" style="100" customWidth="1"/>
    <col min="14601" max="14601" width="17.140625" style="100" customWidth="1"/>
    <col min="14602" max="14602" width="12.7109375" style="100" customWidth="1"/>
    <col min="14603" max="14854" width="9.140625" style="100"/>
    <col min="14855" max="14855" width="7.42578125" style="100" customWidth="1"/>
    <col min="14856" max="14856" width="20.42578125" style="100" customWidth="1"/>
    <col min="14857" max="14857" width="17.140625" style="100" customWidth="1"/>
    <col min="14858" max="14858" width="12.7109375" style="100" customWidth="1"/>
    <col min="14859" max="15110" width="9.140625" style="100"/>
    <col min="15111" max="15111" width="7.42578125" style="100" customWidth="1"/>
    <col min="15112" max="15112" width="20.42578125" style="100" customWidth="1"/>
    <col min="15113" max="15113" width="17.140625" style="100" customWidth="1"/>
    <col min="15114" max="15114" width="12.7109375" style="100" customWidth="1"/>
    <col min="15115" max="15366" width="9.140625" style="100"/>
    <col min="15367" max="15367" width="7.42578125" style="100" customWidth="1"/>
    <col min="15368" max="15368" width="20.42578125" style="100" customWidth="1"/>
    <col min="15369" max="15369" width="17.140625" style="100" customWidth="1"/>
    <col min="15370" max="15370" width="12.7109375" style="100" customWidth="1"/>
    <col min="15371" max="15622" width="9.140625" style="100"/>
    <col min="15623" max="15623" width="7.42578125" style="100" customWidth="1"/>
    <col min="15624" max="15624" width="20.42578125" style="100" customWidth="1"/>
    <col min="15625" max="15625" width="17.140625" style="100" customWidth="1"/>
    <col min="15626" max="15626" width="12.7109375" style="100" customWidth="1"/>
    <col min="15627" max="15878" width="9.140625" style="100"/>
    <col min="15879" max="15879" width="7.42578125" style="100" customWidth="1"/>
    <col min="15880" max="15880" width="20.42578125" style="100" customWidth="1"/>
    <col min="15881" max="15881" width="17.140625" style="100" customWidth="1"/>
    <col min="15882" max="15882" width="12.7109375" style="100" customWidth="1"/>
    <col min="15883" max="16134" width="9.140625" style="100"/>
    <col min="16135" max="16135" width="7.42578125" style="100" customWidth="1"/>
    <col min="16136" max="16136" width="20.42578125" style="100" customWidth="1"/>
    <col min="16137" max="16137" width="17.140625" style="100" customWidth="1"/>
    <col min="16138" max="16138" width="12.7109375" style="100" customWidth="1"/>
    <col min="16139" max="16384" width="9.140625" style="100"/>
  </cols>
  <sheetData>
    <row r="4" spans="3:9" x14ac:dyDescent="0.3">
      <c r="C4" s="99" t="s">
        <v>182</v>
      </c>
      <c r="E4" s="139" t="s">
        <v>254</v>
      </c>
      <c r="F4" s="139"/>
      <c r="G4" s="139"/>
      <c r="H4" s="139"/>
    </row>
    <row r="6" spans="3:9" ht="51.75" customHeight="1" x14ac:dyDescent="0.3">
      <c r="C6" s="101" t="s">
        <v>180</v>
      </c>
      <c r="D6" s="102"/>
      <c r="E6" s="140" t="s">
        <v>273</v>
      </c>
      <c r="F6" s="140"/>
      <c r="G6" s="140"/>
      <c r="H6" s="140"/>
      <c r="I6" s="102"/>
    </row>
    <row r="7" spans="3:9" x14ac:dyDescent="0.3">
      <c r="D7" s="103"/>
      <c r="E7" s="103"/>
      <c r="F7" s="103"/>
      <c r="G7" s="103"/>
      <c r="H7" s="103"/>
      <c r="I7" s="103"/>
    </row>
    <row r="8" spans="3:9" x14ac:dyDescent="0.3">
      <c r="C8" s="99" t="s">
        <v>181</v>
      </c>
      <c r="E8" s="141" t="s">
        <v>262</v>
      </c>
      <c r="F8" s="141"/>
      <c r="G8" s="141"/>
      <c r="H8" s="141"/>
    </row>
    <row r="9" spans="3:9" ht="17.25" x14ac:dyDescent="0.3">
      <c r="E9" s="104"/>
    </row>
    <row r="11" spans="3:9" x14ac:dyDescent="0.3">
      <c r="C11" s="105" t="s">
        <v>45</v>
      </c>
    </row>
    <row r="14" spans="3:9" x14ac:dyDescent="0.3">
      <c r="C14" s="106" t="s">
        <v>158</v>
      </c>
      <c r="D14" s="107"/>
      <c r="E14" s="107"/>
      <c r="F14" s="107"/>
      <c r="G14" s="107"/>
      <c r="H14" s="108" t="str">
        <f>'1. PREDDELA'!F52</f>
        <v/>
      </c>
    </row>
    <row r="15" spans="3:9" x14ac:dyDescent="0.3">
      <c r="H15" s="109"/>
    </row>
    <row r="16" spans="3:9" x14ac:dyDescent="0.3">
      <c r="C16" s="106" t="s">
        <v>159</v>
      </c>
      <c r="D16" s="107"/>
      <c r="E16" s="107"/>
      <c r="F16" s="107"/>
      <c r="G16" s="107"/>
      <c r="H16" s="108" t="str">
        <f>'2. ZEMELJSKA DELA'!F41</f>
        <v/>
      </c>
    </row>
    <row r="17" spans="3:8" x14ac:dyDescent="0.3">
      <c r="H17" s="109"/>
    </row>
    <row r="18" spans="3:8" x14ac:dyDescent="0.3">
      <c r="C18" s="106" t="s">
        <v>160</v>
      </c>
      <c r="D18" s="107"/>
      <c r="E18" s="107"/>
      <c r="F18" s="107"/>
      <c r="G18" s="107"/>
      <c r="H18" s="108" t="str">
        <f>'3. VOZIŠČNE KONSTRUKCIJE'!F46</f>
        <v/>
      </c>
    </row>
    <row r="19" spans="3:8" x14ac:dyDescent="0.3">
      <c r="H19" s="109"/>
    </row>
    <row r="20" spans="3:8" x14ac:dyDescent="0.3">
      <c r="C20" s="106" t="s">
        <v>161</v>
      </c>
      <c r="D20" s="107"/>
      <c r="E20" s="107"/>
      <c r="F20" s="107"/>
      <c r="G20" s="107"/>
      <c r="H20" s="108" t="str">
        <f>'4. ODVODNJAVANJE'!F27</f>
        <v/>
      </c>
    </row>
    <row r="21" spans="3:8" x14ac:dyDescent="0.3">
      <c r="H21" s="109"/>
    </row>
    <row r="22" spans="3:8" x14ac:dyDescent="0.3">
      <c r="C22" s="106" t="s">
        <v>162</v>
      </c>
      <c r="D22" s="107"/>
      <c r="E22" s="107"/>
      <c r="F22" s="107"/>
      <c r="G22" s="107"/>
      <c r="H22" s="108" t="str">
        <f>'5. GRADBENA IN OBRTNIŠKA DELA'!F6</f>
        <v/>
      </c>
    </row>
    <row r="23" spans="3:8" x14ac:dyDescent="0.3">
      <c r="H23" s="109"/>
    </row>
    <row r="24" spans="3:8" x14ac:dyDescent="0.3">
      <c r="C24" s="106" t="s">
        <v>163</v>
      </c>
      <c r="D24" s="107"/>
      <c r="E24" s="107"/>
      <c r="F24" s="107"/>
      <c r="G24" s="107"/>
      <c r="H24" s="108" t="str">
        <f>'6. OPREMA CEST'!F30</f>
        <v/>
      </c>
    </row>
    <row r="25" spans="3:8" x14ac:dyDescent="0.3">
      <c r="H25" s="109"/>
    </row>
    <row r="26" spans="3:8" x14ac:dyDescent="0.3">
      <c r="C26" s="106" t="s">
        <v>164</v>
      </c>
      <c r="D26" s="107"/>
      <c r="E26" s="107"/>
      <c r="F26" s="107"/>
      <c r="G26" s="107"/>
      <c r="H26" s="108" t="str">
        <f>'7. TUJE STORITVE'!F34</f>
        <v/>
      </c>
    </row>
    <row r="27" spans="3:8" x14ac:dyDescent="0.3">
      <c r="H27" s="109"/>
    </row>
    <row r="28" spans="3:8" x14ac:dyDescent="0.3">
      <c r="C28" s="106" t="s">
        <v>165</v>
      </c>
      <c r="D28" s="107"/>
      <c r="E28" s="107"/>
      <c r="F28" s="107"/>
      <c r="G28" s="107"/>
      <c r="H28" s="108" t="str">
        <f>IF(SUM(H14:H26)=0,"",SUM(H14:H26)*0.05)</f>
        <v/>
      </c>
    </row>
    <row r="31" spans="3:8" x14ac:dyDescent="0.3">
      <c r="F31" s="110" t="s">
        <v>46</v>
      </c>
      <c r="H31" s="109" t="str">
        <f>IF(SUM(H14:H28)=0,"",SUM(H14:H28))</f>
        <v/>
      </c>
    </row>
    <row r="32" spans="3:8" x14ac:dyDescent="0.3">
      <c r="F32" s="110"/>
      <c r="H32" s="109"/>
    </row>
    <row r="33" spans="2:8" x14ac:dyDescent="0.3">
      <c r="F33" s="110" t="s">
        <v>173</v>
      </c>
      <c r="H33" s="109" t="str">
        <f>IF(SUM(H31)=0,"",SUM(0.22*H31))</f>
        <v/>
      </c>
    </row>
    <row r="34" spans="2:8" x14ac:dyDescent="0.3">
      <c r="H34" s="109"/>
    </row>
    <row r="35" spans="2:8" x14ac:dyDescent="0.3">
      <c r="H35" s="111"/>
    </row>
    <row r="36" spans="2:8" x14ac:dyDescent="0.3">
      <c r="C36" s="112" t="s">
        <v>47</v>
      </c>
      <c r="D36" s="107"/>
      <c r="E36" s="107"/>
      <c r="F36" s="107"/>
      <c r="G36" s="107"/>
      <c r="H36" s="113" t="str">
        <f>IF(SUM(H31:H33)=0,"",SUM(H31:H33))</f>
        <v/>
      </c>
    </row>
    <row r="41" spans="2:8" ht="17.25" hidden="1" thickBot="1" x14ac:dyDescent="0.35">
      <c r="B41" s="138" t="s">
        <v>48</v>
      </c>
      <c r="C41" s="138"/>
      <c r="D41" s="138"/>
      <c r="E41" s="138"/>
      <c r="F41" s="114">
        <v>1</v>
      </c>
    </row>
  </sheetData>
  <sheetProtection algorithmName="SHA-512" hashValue="QQV38XzT+LJBR/qmfXVXDO+kA7cor3Qt+uvLylcbS+30e7JQPteo+RKc4j9JanlfiNmEvqHWZ8e6HQsEEd8Uaw==" saltValue="zprjZAeO5M+BlmjniOiDEA==" spinCount="100000" sheet="1" objects="1" scenario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52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77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39</v>
      </c>
      <c r="C2" s="8" t="s">
        <v>44</v>
      </c>
      <c r="D2" s="8" t="s">
        <v>40</v>
      </c>
      <c r="E2" s="9" t="s">
        <v>41</v>
      </c>
      <c r="F2" s="9" t="s">
        <v>42</v>
      </c>
      <c r="G2" s="9" t="s">
        <v>43</v>
      </c>
      <c r="I2" s="78" t="s">
        <v>49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79"/>
    </row>
    <row r="4" spans="1:9" ht="15.75" x14ac:dyDescent="0.2">
      <c r="B4" s="144" t="s">
        <v>0</v>
      </c>
      <c r="C4" s="144"/>
      <c r="D4" s="144"/>
      <c r="E4" s="144"/>
      <c r="F4" s="144"/>
      <c r="G4" s="144"/>
    </row>
    <row r="5" spans="1:9" ht="12.75" customHeight="1" x14ac:dyDescent="0.2">
      <c r="B5" s="98"/>
      <c r="C5" s="98"/>
      <c r="D5" s="98"/>
      <c r="E5" s="15" t="str">
        <f>IF(SUM(E8:E11)=0,0,"")</f>
        <v/>
      </c>
      <c r="F5" s="15"/>
      <c r="G5" s="15"/>
    </row>
    <row r="6" spans="1:9" ht="21.2" customHeight="1" x14ac:dyDescent="0.3">
      <c r="B6" s="145" t="s">
        <v>31</v>
      </c>
      <c r="C6" s="146"/>
      <c r="D6" s="146"/>
      <c r="E6" s="16" t="str">
        <f>IF(SUM(E8:E11)=0,0,"")</f>
        <v/>
      </c>
      <c r="F6" s="16"/>
      <c r="G6" s="17"/>
    </row>
    <row r="7" spans="1:9" x14ac:dyDescent="0.2">
      <c r="E7" s="15" t="str">
        <f>IF(SUM(E8:E11)=0,0,"")</f>
        <v/>
      </c>
      <c r="F7" s="15"/>
      <c r="G7" s="15"/>
    </row>
    <row r="8" spans="1:9" ht="38.25" x14ac:dyDescent="0.2">
      <c r="B8" s="18" t="s">
        <v>2</v>
      </c>
      <c r="C8" s="19" t="s">
        <v>1</v>
      </c>
      <c r="D8" s="20" t="s">
        <v>197</v>
      </c>
      <c r="E8" s="91">
        <v>0.05</v>
      </c>
      <c r="F8" s="115"/>
      <c r="G8" s="21" t="str">
        <f t="shared" ref="G8:G11" si="0">IF(F8="","",E8*F8)</f>
        <v/>
      </c>
      <c r="I8" s="81">
        <v>1410</v>
      </c>
    </row>
    <row r="9" spans="1:9" ht="38.25" x14ac:dyDescent="0.2">
      <c r="B9" s="18" t="s">
        <v>3</v>
      </c>
      <c r="C9" s="19" t="s">
        <v>1</v>
      </c>
      <c r="D9" s="20" t="s">
        <v>198</v>
      </c>
      <c r="E9" s="91">
        <f>+E8</f>
        <v>0.05</v>
      </c>
      <c r="F9" s="115"/>
      <c r="G9" s="21" t="str">
        <f t="shared" si="0"/>
        <v/>
      </c>
      <c r="I9" s="80">
        <v>0</v>
      </c>
    </row>
    <row r="10" spans="1:9" ht="38.25" x14ac:dyDescent="0.2">
      <c r="B10" s="18" t="s">
        <v>5</v>
      </c>
      <c r="C10" s="19" t="s">
        <v>4</v>
      </c>
      <c r="D10" s="20" t="s">
        <v>199</v>
      </c>
      <c r="E10" s="91">
        <v>7</v>
      </c>
      <c r="F10" s="115"/>
      <c r="G10" s="21" t="str">
        <f t="shared" si="0"/>
        <v/>
      </c>
      <c r="I10" s="81">
        <v>23</v>
      </c>
    </row>
    <row r="11" spans="1:9" ht="38.25" x14ac:dyDescent="0.2">
      <c r="B11" s="18" t="s">
        <v>6</v>
      </c>
      <c r="C11" s="19" t="s">
        <v>4</v>
      </c>
      <c r="D11" s="20" t="s">
        <v>219</v>
      </c>
      <c r="E11" s="91">
        <v>15</v>
      </c>
      <c r="F11" s="115"/>
      <c r="G11" s="21" t="str">
        <f t="shared" si="0"/>
        <v/>
      </c>
      <c r="I11" s="80">
        <v>0</v>
      </c>
    </row>
    <row r="12" spans="1:9" x14ac:dyDescent="0.2">
      <c r="E12" s="22" t="str">
        <f>IF(AND(E14=0,E19=0,E24=0,E41=0),0,"")</f>
        <v/>
      </c>
      <c r="G12" s="22"/>
    </row>
    <row r="13" spans="1:9" ht="21.2" customHeight="1" x14ac:dyDescent="0.3">
      <c r="B13" s="145" t="s">
        <v>32</v>
      </c>
      <c r="C13" s="146"/>
      <c r="D13" s="146"/>
      <c r="E13" s="16" t="str">
        <f>IF(AND(E14=0,E19=0,E24=0,E41=0),0,"")</f>
        <v/>
      </c>
      <c r="F13" s="16"/>
      <c r="G13" s="17"/>
    </row>
    <row r="14" spans="1:9" ht="21.2" customHeight="1" x14ac:dyDescent="0.25">
      <c r="B14" s="147" t="s">
        <v>33</v>
      </c>
      <c r="C14" s="147"/>
      <c r="D14" s="147"/>
      <c r="E14" s="23" t="str">
        <f>IF(SUM(E16:E17)=0,0,"")</f>
        <v/>
      </c>
      <c r="F14" s="23"/>
      <c r="G14" s="23"/>
    </row>
    <row r="15" spans="1:9" x14ac:dyDescent="0.2">
      <c r="E15" s="15" t="str">
        <f>IF(SUM(E16:E17)=0,0,"")</f>
        <v/>
      </c>
      <c r="F15" s="15"/>
      <c r="G15" s="15"/>
    </row>
    <row r="16" spans="1:9" ht="38.25" x14ac:dyDescent="0.2">
      <c r="B16" s="18" t="s">
        <v>9</v>
      </c>
      <c r="C16" s="19" t="s">
        <v>8</v>
      </c>
      <c r="D16" s="20" t="s">
        <v>50</v>
      </c>
      <c r="E16" s="91">
        <v>10</v>
      </c>
      <c r="F16" s="115"/>
      <c r="G16" s="21" t="str">
        <f t="shared" ref="G16:G17" si="1">IF(F16="","",E16*F16)</f>
        <v/>
      </c>
      <c r="I16" s="83">
        <v>19</v>
      </c>
    </row>
    <row r="17" spans="2:9" ht="25.5" x14ac:dyDescent="0.2">
      <c r="B17" s="18" t="s">
        <v>200</v>
      </c>
      <c r="C17" s="19" t="s">
        <v>7</v>
      </c>
      <c r="D17" s="20" t="s">
        <v>201</v>
      </c>
      <c r="E17" s="91">
        <v>5</v>
      </c>
      <c r="F17" s="115"/>
      <c r="G17" s="21" t="str">
        <f t="shared" si="1"/>
        <v/>
      </c>
      <c r="I17" s="85">
        <v>1</v>
      </c>
    </row>
    <row r="18" spans="2:9" x14ac:dyDescent="0.2">
      <c r="E18" s="15" t="str">
        <f>IF(SUM(E21:E22)=0,0,"")</f>
        <v/>
      </c>
      <c r="F18" s="15"/>
      <c r="G18" s="15"/>
    </row>
    <row r="19" spans="2:9" ht="21.75" customHeight="1" x14ac:dyDescent="0.25">
      <c r="B19" s="148" t="s">
        <v>34</v>
      </c>
      <c r="C19" s="148"/>
      <c r="D19" s="148"/>
      <c r="E19" s="86" t="str">
        <f>IF(SUM(E21:E22)=0,0,"")</f>
        <v/>
      </c>
      <c r="F19" s="86"/>
      <c r="G19" s="86"/>
    </row>
    <row r="20" spans="2:9" x14ac:dyDescent="0.2">
      <c r="E20" s="15" t="str">
        <f>IF(SUM(E21:E22)=0,0,"")</f>
        <v/>
      </c>
      <c r="F20" s="15"/>
      <c r="G20" s="15"/>
    </row>
    <row r="21" spans="2:9" ht="25.5" x14ac:dyDescent="0.2">
      <c r="B21" s="18" t="s">
        <v>10</v>
      </c>
      <c r="C21" s="19" t="s">
        <v>4</v>
      </c>
      <c r="D21" s="20" t="s">
        <v>235</v>
      </c>
      <c r="E21" s="91">
        <v>3</v>
      </c>
      <c r="F21" s="115"/>
      <c r="G21" s="21" t="str">
        <f>IF(F21="","",E21*F21)</f>
        <v/>
      </c>
      <c r="I21" s="87">
        <v>16</v>
      </c>
    </row>
    <row r="22" spans="2:9" ht="25.5" x14ac:dyDescent="0.2">
      <c r="B22" s="18" t="s">
        <v>175</v>
      </c>
      <c r="C22" s="19" t="s">
        <v>4</v>
      </c>
      <c r="D22" s="20" t="s">
        <v>176</v>
      </c>
      <c r="E22" s="91">
        <v>1</v>
      </c>
      <c r="F22" s="115"/>
      <c r="G22" s="21" t="str">
        <f t="shared" ref="G22" si="2">IF(F22="","",E22*F22)</f>
        <v/>
      </c>
      <c r="I22" s="89">
        <v>0</v>
      </c>
    </row>
    <row r="23" spans="2:9" x14ac:dyDescent="0.2">
      <c r="E23" s="24" t="str">
        <f>IF(SUM(E26:E39)=0,0,"")</f>
        <v/>
      </c>
      <c r="F23" s="24"/>
      <c r="G23" s="24"/>
    </row>
    <row r="24" spans="2:9" ht="21.2" customHeight="1" x14ac:dyDescent="0.2">
      <c r="B24" s="148" t="s">
        <v>35</v>
      </c>
      <c r="C24" s="148"/>
      <c r="D24" s="148"/>
      <c r="E24" s="25" t="str">
        <f>IF(SUM(E26:E39)=0,0,"")</f>
        <v/>
      </c>
      <c r="F24" s="25"/>
      <c r="G24" s="25"/>
    </row>
    <row r="25" spans="2:9" x14ac:dyDescent="0.2">
      <c r="E25" s="24" t="str">
        <f>IF(SUM(E26:E39)=0,0,"")</f>
        <v/>
      </c>
      <c r="F25" s="24"/>
      <c r="G25" s="24"/>
    </row>
    <row r="26" spans="2:9" ht="38.25" x14ac:dyDescent="0.2">
      <c r="B26" s="18" t="s">
        <v>13</v>
      </c>
      <c r="C26" s="19" t="s">
        <v>8</v>
      </c>
      <c r="D26" s="20" t="s">
        <v>203</v>
      </c>
      <c r="E26" s="91">
        <v>100</v>
      </c>
      <c r="F26" s="115"/>
      <c r="G26" s="21" t="str">
        <f t="shared" ref="G26:G39" si="3">IF(F26="","",E26*F26)</f>
        <v/>
      </c>
      <c r="I26" s="84">
        <v>3</v>
      </c>
    </row>
    <row r="27" spans="2:9" ht="38.25" x14ac:dyDescent="0.2">
      <c r="B27" s="18" t="s">
        <v>14</v>
      </c>
      <c r="C27" s="19" t="s">
        <v>8</v>
      </c>
      <c r="D27" s="20" t="s">
        <v>258</v>
      </c>
      <c r="E27" s="97">
        <v>150</v>
      </c>
      <c r="F27" s="115"/>
      <c r="G27" s="21" t="str">
        <f t="shared" si="3"/>
        <v/>
      </c>
      <c r="I27" s="82">
        <v>5</v>
      </c>
    </row>
    <row r="28" spans="2:9" ht="38.25" x14ac:dyDescent="0.2">
      <c r="B28" s="18" t="s">
        <v>15</v>
      </c>
      <c r="C28" s="19" t="s">
        <v>8</v>
      </c>
      <c r="D28" s="20" t="s">
        <v>204</v>
      </c>
      <c r="E28" s="97">
        <v>550</v>
      </c>
      <c r="F28" s="115"/>
      <c r="G28" s="21" t="str">
        <f t="shared" si="3"/>
        <v/>
      </c>
      <c r="I28" s="82">
        <v>7</v>
      </c>
    </row>
    <row r="29" spans="2:9" ht="38.25" x14ac:dyDescent="0.2">
      <c r="B29" s="18" t="s">
        <v>16</v>
      </c>
      <c r="C29" s="19" t="s">
        <v>12</v>
      </c>
      <c r="D29" s="20" t="s">
        <v>236</v>
      </c>
      <c r="E29" s="91">
        <v>1</v>
      </c>
      <c r="F29" s="115"/>
      <c r="G29" s="21" t="str">
        <f t="shared" si="3"/>
        <v/>
      </c>
      <c r="I29" s="83">
        <v>55</v>
      </c>
    </row>
    <row r="30" spans="2:9" ht="38.25" x14ac:dyDescent="0.2">
      <c r="B30" s="18" t="s">
        <v>17</v>
      </c>
      <c r="C30" s="19" t="s">
        <v>8</v>
      </c>
      <c r="D30" s="20" t="s">
        <v>259</v>
      </c>
      <c r="E30" s="91">
        <v>20</v>
      </c>
      <c r="F30" s="115"/>
      <c r="G30" s="21" t="str">
        <f t="shared" si="3"/>
        <v/>
      </c>
      <c r="I30" s="90">
        <v>0</v>
      </c>
    </row>
    <row r="31" spans="2:9" ht="38.25" x14ac:dyDescent="0.2">
      <c r="B31" s="18" t="s">
        <v>18</v>
      </c>
      <c r="C31" s="19" t="s">
        <v>8</v>
      </c>
      <c r="D31" s="20" t="s">
        <v>239</v>
      </c>
      <c r="E31" s="91">
        <f>E34*0.25</f>
        <v>2.5</v>
      </c>
      <c r="F31" s="115"/>
      <c r="G31" s="21" t="str">
        <f t="shared" si="3"/>
        <v/>
      </c>
      <c r="I31" s="90">
        <v>0</v>
      </c>
    </row>
    <row r="32" spans="2:9" ht="38.25" x14ac:dyDescent="0.2">
      <c r="B32" s="18" t="s">
        <v>19</v>
      </c>
      <c r="C32" s="19" t="s">
        <v>8</v>
      </c>
      <c r="D32" s="20" t="s">
        <v>257</v>
      </c>
      <c r="E32" s="91">
        <f>E35*0.5</f>
        <v>14</v>
      </c>
      <c r="F32" s="115"/>
      <c r="G32" s="21" t="str">
        <f t="shared" si="3"/>
        <v/>
      </c>
      <c r="I32" s="90">
        <v>0</v>
      </c>
    </row>
    <row r="33" spans="2:9" ht="38.25" x14ac:dyDescent="0.2">
      <c r="B33" s="18" t="s">
        <v>20</v>
      </c>
      <c r="C33" s="19" t="s">
        <v>8</v>
      </c>
      <c r="D33" s="20" t="s">
        <v>240</v>
      </c>
      <c r="E33" s="91">
        <f>E36*0.5</f>
        <v>34</v>
      </c>
      <c r="F33" s="115"/>
      <c r="G33" s="21" t="str">
        <f t="shared" si="3"/>
        <v/>
      </c>
      <c r="I33" s="90">
        <v>0</v>
      </c>
    </row>
    <row r="34" spans="2:9" ht="38.25" x14ac:dyDescent="0.2">
      <c r="B34" s="18" t="s">
        <v>21</v>
      </c>
      <c r="C34" s="19" t="s">
        <v>11</v>
      </c>
      <c r="D34" s="20" t="s">
        <v>238</v>
      </c>
      <c r="E34" s="91">
        <v>10</v>
      </c>
      <c r="F34" s="115"/>
      <c r="G34" s="21" t="str">
        <f t="shared" si="3"/>
        <v/>
      </c>
      <c r="I34" s="82">
        <v>1</v>
      </c>
    </row>
    <row r="35" spans="2:9" ht="38.25" x14ac:dyDescent="0.2">
      <c r="B35" s="18" t="s">
        <v>22</v>
      </c>
      <c r="C35" s="19" t="s">
        <v>11</v>
      </c>
      <c r="D35" s="20" t="s">
        <v>256</v>
      </c>
      <c r="E35" s="91">
        <v>28</v>
      </c>
      <c r="F35" s="115"/>
      <c r="G35" s="21" t="str">
        <f t="shared" si="3"/>
        <v/>
      </c>
      <c r="I35" s="82">
        <v>1.1000000000000001</v>
      </c>
    </row>
    <row r="36" spans="2:9" ht="38.25" x14ac:dyDescent="0.2">
      <c r="B36" s="18" t="s">
        <v>23</v>
      </c>
      <c r="C36" s="19" t="s">
        <v>11</v>
      </c>
      <c r="D36" s="20" t="s">
        <v>237</v>
      </c>
      <c r="E36" s="97">
        <f>13+25+26+4</f>
        <v>68</v>
      </c>
      <c r="F36" s="115"/>
      <c r="G36" s="21" t="str">
        <f t="shared" si="3"/>
        <v/>
      </c>
      <c r="I36" s="82">
        <v>1.2</v>
      </c>
    </row>
    <row r="37" spans="2:9" ht="25.5" x14ac:dyDescent="0.2">
      <c r="B37" s="18" t="s">
        <v>24</v>
      </c>
      <c r="C37" s="19" t="s">
        <v>11</v>
      </c>
      <c r="D37" s="20" t="s">
        <v>51</v>
      </c>
      <c r="E37" s="91">
        <v>65</v>
      </c>
      <c r="F37" s="115"/>
      <c r="G37" s="21" t="str">
        <f t="shared" si="3"/>
        <v/>
      </c>
      <c r="I37" s="83">
        <v>14</v>
      </c>
    </row>
    <row r="38" spans="2:9" ht="25.5" x14ac:dyDescent="0.2">
      <c r="B38" s="18" t="s">
        <v>25</v>
      </c>
      <c r="C38" s="19" t="s">
        <v>11</v>
      </c>
      <c r="D38" s="20" t="s">
        <v>195</v>
      </c>
      <c r="E38" s="97">
        <f>16</f>
        <v>16</v>
      </c>
      <c r="F38" s="115"/>
      <c r="G38" s="21" t="str">
        <f t="shared" si="3"/>
        <v/>
      </c>
      <c r="I38" s="83">
        <v>14</v>
      </c>
    </row>
    <row r="39" spans="2:9" ht="25.5" x14ac:dyDescent="0.2">
      <c r="B39" s="18" t="s">
        <v>26</v>
      </c>
      <c r="C39" s="19" t="s">
        <v>11</v>
      </c>
      <c r="D39" s="20" t="s">
        <v>196</v>
      </c>
      <c r="E39" s="97">
        <v>16</v>
      </c>
      <c r="F39" s="115"/>
      <c r="G39" s="21" t="str">
        <f t="shared" si="3"/>
        <v/>
      </c>
      <c r="I39" s="83">
        <v>14</v>
      </c>
    </row>
    <row r="40" spans="2:9" x14ac:dyDescent="0.2">
      <c r="E40" s="24" t="str">
        <f>IF(SUM(E43:E44)=0,0,"")</f>
        <v/>
      </c>
      <c r="F40" s="24"/>
      <c r="G40" s="24"/>
    </row>
    <row r="41" spans="2:9" ht="21.2" customHeight="1" x14ac:dyDescent="0.2">
      <c r="B41" s="148" t="s">
        <v>36</v>
      </c>
      <c r="C41" s="148"/>
      <c r="D41" s="148"/>
      <c r="E41" s="25" t="str">
        <f>IF(SUM(E43:E44)=0,0,"")</f>
        <v/>
      </c>
      <c r="F41" s="25"/>
      <c r="G41" s="25"/>
    </row>
    <row r="42" spans="2:9" x14ac:dyDescent="0.2">
      <c r="E42" s="24" t="str">
        <f>IF(SUM(E43:E44)=0,0,"")</f>
        <v/>
      </c>
      <c r="F42" s="24"/>
      <c r="G42" s="24"/>
    </row>
    <row r="43" spans="2:9" ht="38.25" x14ac:dyDescent="0.2">
      <c r="B43" s="18" t="s">
        <v>27</v>
      </c>
      <c r="C43" s="19" t="s">
        <v>11</v>
      </c>
      <c r="D43" s="20" t="s">
        <v>241</v>
      </c>
      <c r="E43" s="91">
        <f>E44*7</f>
        <v>42</v>
      </c>
      <c r="F43" s="115"/>
      <c r="G43" s="21" t="str">
        <f t="shared" ref="G43:G44" si="4">IF(F43="","",E43*F43)</f>
        <v/>
      </c>
      <c r="I43" s="92">
        <v>15.4</v>
      </c>
    </row>
    <row r="44" spans="2:9" ht="38.25" x14ac:dyDescent="0.2">
      <c r="B44" s="18" t="s">
        <v>28</v>
      </c>
      <c r="C44" s="19" t="s">
        <v>11</v>
      </c>
      <c r="D44" s="20" t="s">
        <v>242</v>
      </c>
      <c r="E44" s="91">
        <v>6</v>
      </c>
      <c r="F44" s="115"/>
      <c r="G44" s="21" t="str">
        <f t="shared" si="4"/>
        <v/>
      </c>
      <c r="I44" s="88">
        <v>14</v>
      </c>
    </row>
    <row r="45" spans="2:9" x14ac:dyDescent="0.2">
      <c r="E45" s="22"/>
      <c r="F45" s="22"/>
      <c r="G45" s="22"/>
    </row>
    <row r="46" spans="2:9" ht="21.2" customHeight="1" x14ac:dyDescent="0.3">
      <c r="B46" s="145" t="s">
        <v>37</v>
      </c>
      <c r="C46" s="146"/>
      <c r="D46" s="146"/>
      <c r="E46" s="16"/>
      <c r="F46" s="16"/>
      <c r="G46" s="17"/>
    </row>
    <row r="47" spans="2:9" ht="20.25" customHeight="1" x14ac:dyDescent="0.25">
      <c r="B47" s="147" t="s">
        <v>38</v>
      </c>
      <c r="C47" s="147"/>
      <c r="D47" s="147"/>
      <c r="E47" s="23" t="str">
        <f>IF(SUM(E49:E49)=0,0,"")</f>
        <v/>
      </c>
      <c r="F47" s="23"/>
      <c r="G47" s="23"/>
    </row>
    <row r="48" spans="2:9" x14ac:dyDescent="0.2">
      <c r="E48" s="15" t="str">
        <f>IF(SUM(E49:E49)=0,0,"")</f>
        <v/>
      </c>
      <c r="F48" s="15"/>
      <c r="G48" s="15"/>
    </row>
    <row r="49" spans="2:9" ht="25.5" x14ac:dyDescent="0.2">
      <c r="B49" s="18" t="s">
        <v>30</v>
      </c>
      <c r="C49" s="19" t="s">
        <v>29</v>
      </c>
      <c r="D49" s="20" t="s">
        <v>189</v>
      </c>
      <c r="E49" s="91">
        <v>15</v>
      </c>
      <c r="F49" s="115"/>
      <c r="G49" s="21" t="str">
        <f t="shared" ref="G49:G50" si="5">IF(F49="","",E49*F49)</f>
        <v/>
      </c>
      <c r="I49" s="85">
        <v>0</v>
      </c>
    </row>
    <row r="50" spans="2:9" ht="25.5" x14ac:dyDescent="0.2">
      <c r="B50" s="18" t="s">
        <v>170</v>
      </c>
      <c r="C50" s="19" t="s">
        <v>4</v>
      </c>
      <c r="D50" s="20" t="s">
        <v>171</v>
      </c>
      <c r="E50" s="91">
        <v>1</v>
      </c>
      <c r="F50" s="115"/>
      <c r="G50" s="21" t="str">
        <f t="shared" si="5"/>
        <v/>
      </c>
      <c r="I50" s="6"/>
    </row>
    <row r="51" spans="2:9" ht="13.5" thickBot="1" x14ac:dyDescent="0.25"/>
    <row r="52" spans="2:9" ht="16.5" thickBot="1" x14ac:dyDescent="0.25">
      <c r="D52" s="26" t="s">
        <v>52</v>
      </c>
      <c r="E52" s="27"/>
      <c r="F52" s="142" t="str">
        <f>IF(SUM(G8:G50)=0,"",SUM(G8:G50))</f>
        <v/>
      </c>
      <c r="G52" s="143"/>
    </row>
  </sheetData>
  <sheetProtection algorithmName="SHA-512" hashValue="ppRd5IOe2GmuMv6nHmKN4zyEnmz0hldUDMcXwRGWeXGONRGmEwkPbnVmekjkQdggVNJEzN9AXx8k8YeC3xk6YA==" saltValue="Kt8Pb/xqZySy/fENB/GABw==" spinCount="100000" sheet="1" objects="1" scenarios="1"/>
  <autoFilter ref="E1:G52">
    <filterColumn colId="0">
      <filters blank="1">
        <filter val="0,05"/>
        <filter val="1,00"/>
        <filter val="1,25"/>
        <filter val="10,00"/>
        <filter val="100,00"/>
        <filter val="13,00"/>
        <filter val="14,00"/>
        <filter val="15,00"/>
        <filter val="150,00"/>
        <filter val="16,00"/>
        <filter val="175,00"/>
        <filter val="20,00"/>
        <filter val="25,00"/>
        <filter val="28,00"/>
        <filter val="3,00"/>
        <filter val="45,00"/>
        <filter val="475,00"/>
        <filter val="5,00"/>
        <filter val="6,50"/>
        <filter val="65,00"/>
        <filter val="7,00"/>
        <filter val="količina"/>
      </filters>
    </filterColumn>
  </autoFilter>
  <dataConsolidate/>
  <mergeCells count="10">
    <mergeCell ref="F52:G52"/>
    <mergeCell ref="B4:G4"/>
    <mergeCell ref="B6:D6"/>
    <mergeCell ref="B13:D13"/>
    <mergeCell ref="B14:D14"/>
    <mergeCell ref="B19:D19"/>
    <mergeCell ref="B24:D24"/>
    <mergeCell ref="B41:D41"/>
    <mergeCell ref="B46:D46"/>
    <mergeCell ref="B47:D4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1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40" hidden="1" customWidth="1"/>
    <col min="9" max="9" width="8.7109375" style="48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39</v>
      </c>
      <c r="C2" s="8" t="s">
        <v>44</v>
      </c>
      <c r="D2" s="8" t="s">
        <v>40</v>
      </c>
      <c r="E2" s="9" t="s">
        <v>41</v>
      </c>
      <c r="F2" s="9" t="s">
        <v>42</v>
      </c>
      <c r="G2" s="9" t="s">
        <v>43</v>
      </c>
      <c r="I2" s="49" t="s">
        <v>49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H3" s="41"/>
      <c r="I3" s="50"/>
    </row>
    <row r="4" spans="1:9" ht="15.75" x14ac:dyDescent="0.2">
      <c r="B4" s="144" t="s">
        <v>53</v>
      </c>
      <c r="C4" s="144"/>
      <c r="D4" s="144"/>
      <c r="E4" s="144"/>
      <c r="F4" s="144"/>
      <c r="G4" s="144"/>
    </row>
    <row r="5" spans="1:9" ht="12.75" customHeight="1" x14ac:dyDescent="0.2">
      <c r="B5" s="98"/>
      <c r="C5" s="98"/>
      <c r="D5" s="98"/>
      <c r="E5" s="15"/>
      <c r="F5" s="15"/>
      <c r="G5" s="15"/>
    </row>
    <row r="6" spans="1:9" ht="21.2" customHeight="1" x14ac:dyDescent="0.3">
      <c r="B6" s="145" t="s">
        <v>78</v>
      </c>
      <c r="C6" s="146"/>
      <c r="D6" s="146"/>
      <c r="E6" s="16"/>
      <c r="F6" s="16"/>
      <c r="G6" s="17"/>
    </row>
    <row r="7" spans="1:9" x14ac:dyDescent="0.2">
      <c r="E7" s="15"/>
      <c r="F7" s="15"/>
      <c r="G7" s="15"/>
    </row>
    <row r="8" spans="1:9" ht="38.25" x14ac:dyDescent="0.2">
      <c r="B8" s="18" t="s">
        <v>54</v>
      </c>
      <c r="C8" s="19" t="s">
        <v>12</v>
      </c>
      <c r="D8" s="20" t="s">
        <v>73</v>
      </c>
      <c r="E8" s="91">
        <f>(45)*0.25</f>
        <v>11.25</v>
      </c>
      <c r="F8" s="115"/>
      <c r="G8" s="21" t="str">
        <f t="shared" ref="G8:G11" si="0">IF(F8="","",E8*F8)</f>
        <v/>
      </c>
      <c r="I8" s="72">
        <v>5.28</v>
      </c>
    </row>
    <row r="9" spans="1:9" ht="25.5" x14ac:dyDescent="0.2">
      <c r="B9" s="18" t="s">
        <v>56</v>
      </c>
      <c r="C9" s="19" t="s">
        <v>12</v>
      </c>
      <c r="D9" s="20" t="s">
        <v>251</v>
      </c>
      <c r="E9" s="91">
        <f>(('3. VOZIŠČNE KONSTRUKCIJE'!E22)*0.56)+('3. VOZIŠČNE KONSTRUKCIJE'!E23)*0.88</f>
        <v>584</v>
      </c>
      <c r="F9" s="115"/>
      <c r="G9" s="21" t="str">
        <f t="shared" si="0"/>
        <v/>
      </c>
      <c r="I9" s="74">
        <v>5.28</v>
      </c>
    </row>
    <row r="10" spans="1:9" ht="51" x14ac:dyDescent="0.2">
      <c r="B10" s="18" t="s">
        <v>57</v>
      </c>
      <c r="C10" s="19" t="s">
        <v>12</v>
      </c>
      <c r="D10" s="20" t="s">
        <v>74</v>
      </c>
      <c r="E10" s="91">
        <f>+('4. ODVODNJAVANJE'!E8*0.3)</f>
        <v>19.5</v>
      </c>
      <c r="F10" s="115"/>
      <c r="G10" s="21" t="str">
        <f t="shared" si="0"/>
        <v/>
      </c>
      <c r="I10" s="73">
        <v>8.8000000000000007</v>
      </c>
    </row>
    <row r="11" spans="1:9" ht="51" x14ac:dyDescent="0.2">
      <c r="B11" s="18" t="s">
        <v>58</v>
      </c>
      <c r="C11" s="19" t="s">
        <v>12</v>
      </c>
      <c r="D11" s="20" t="s">
        <v>75</v>
      </c>
      <c r="E11" s="91">
        <f>+('4. ODVODNJAVANJE'!E17*4)</f>
        <v>24</v>
      </c>
      <c r="F11" s="115"/>
      <c r="G11" s="21" t="str">
        <f t="shared" si="0"/>
        <v/>
      </c>
      <c r="I11" s="75">
        <v>11.33</v>
      </c>
    </row>
    <row r="12" spans="1:9" x14ac:dyDescent="0.2">
      <c r="E12" s="15"/>
      <c r="F12" s="15"/>
      <c r="G12" s="15"/>
    </row>
    <row r="13" spans="1:9" ht="21.2" customHeight="1" x14ac:dyDescent="0.3">
      <c r="B13" s="145" t="s">
        <v>55</v>
      </c>
      <c r="C13" s="146"/>
      <c r="D13" s="146"/>
      <c r="E13" s="16"/>
      <c r="F13" s="16"/>
      <c r="G13" s="17"/>
    </row>
    <row r="14" spans="1:9" x14ac:dyDescent="0.2">
      <c r="E14" s="15"/>
      <c r="F14" s="15"/>
      <c r="G14" s="15"/>
    </row>
    <row r="15" spans="1:9" ht="25.5" x14ac:dyDescent="0.2">
      <c r="B15" s="18" t="s">
        <v>59</v>
      </c>
      <c r="C15" s="19" t="s">
        <v>8</v>
      </c>
      <c r="D15" s="116" t="s">
        <v>76</v>
      </c>
      <c r="E15" s="91">
        <f>('3. VOZIŠČNE KONSTRUKCIJE'!E15+'3. VOZIŠČNE KONSTRUKCIJE'!E16+'3. VOZIŠČNE KONSTRUKCIJE'!E22)*0.98</f>
        <v>686</v>
      </c>
      <c r="F15" s="115"/>
      <c r="G15" s="21" t="str">
        <f t="shared" ref="G15:G16" si="1">IF(F15="","",E15*F15)</f>
        <v/>
      </c>
      <c r="I15" s="70">
        <v>2</v>
      </c>
    </row>
    <row r="16" spans="1:9" ht="25.5" x14ac:dyDescent="0.2">
      <c r="B16" s="18" t="s">
        <v>174</v>
      </c>
      <c r="C16" s="19" t="s">
        <v>8</v>
      </c>
      <c r="D16" s="116" t="s">
        <v>190</v>
      </c>
      <c r="E16" s="91">
        <f>('3. VOZIŠČNE KONSTRUKCIJE'!E15+'3. VOZIŠČNE KONSTRUKCIJE'!E16+'3. VOZIŠČNE KONSTRUKCIJE'!E22)*1</f>
        <v>700</v>
      </c>
      <c r="F16" s="115"/>
      <c r="G16" s="21" t="str">
        <f t="shared" si="1"/>
        <v/>
      </c>
      <c r="I16" s="40"/>
    </row>
    <row r="17" spans="1:9" x14ac:dyDescent="0.2">
      <c r="E17" s="15" t="str">
        <f>IF(SUM(E20:E20)=0,0,"")</f>
        <v/>
      </c>
      <c r="F17" s="15"/>
      <c r="G17" s="15"/>
    </row>
    <row r="18" spans="1:9" ht="21.2" customHeight="1" x14ac:dyDescent="0.3">
      <c r="B18" s="145" t="s">
        <v>79</v>
      </c>
      <c r="C18" s="146"/>
      <c r="D18" s="146"/>
      <c r="E18" s="16" t="str">
        <f>IF(SUM(E20:E20)=0,0,"")</f>
        <v/>
      </c>
      <c r="F18" s="16"/>
      <c r="G18" s="17"/>
    </row>
    <row r="19" spans="1:9" x14ac:dyDescent="0.2">
      <c r="E19" s="15" t="str">
        <f>IF(SUM(E20:E20)=0,0,"")</f>
        <v/>
      </c>
      <c r="F19" s="15"/>
      <c r="G19" s="15"/>
    </row>
    <row r="20" spans="1:9" s="125" customFormat="1" ht="38.25" x14ac:dyDescent="0.2">
      <c r="A20" s="117"/>
      <c r="B20" s="118" t="s">
        <v>60</v>
      </c>
      <c r="C20" s="119" t="s">
        <v>8</v>
      </c>
      <c r="D20" s="116" t="s">
        <v>77</v>
      </c>
      <c r="E20" s="91">
        <f>('3. VOZIŠČNE KONSTRUKCIJE'!E15+'3. VOZIŠČNE KONSTRUKCIJE'!E16+'3. VOZIŠČNE KONSTRUKCIJE'!E22)*1.3</f>
        <v>910</v>
      </c>
      <c r="F20" s="126"/>
      <c r="G20" s="91" t="str">
        <f t="shared" ref="G20" si="2">IF(F20="","",E20*F20)</f>
        <v/>
      </c>
      <c r="H20" s="43"/>
      <c r="I20" s="96">
        <v>0</v>
      </c>
    </row>
    <row r="21" spans="1:9" x14ac:dyDescent="0.2">
      <c r="E21" s="120"/>
      <c r="F21" s="15"/>
      <c r="G21" s="15"/>
    </row>
    <row r="22" spans="1:9" ht="21.2" customHeight="1" x14ac:dyDescent="0.3">
      <c r="B22" s="145" t="s">
        <v>80</v>
      </c>
      <c r="C22" s="146"/>
      <c r="D22" s="146"/>
      <c r="E22" s="16"/>
      <c r="F22" s="16"/>
      <c r="G22" s="17"/>
    </row>
    <row r="23" spans="1:9" x14ac:dyDescent="0.2">
      <c r="E23" s="15"/>
      <c r="F23" s="15"/>
      <c r="G23" s="15"/>
    </row>
    <row r="24" spans="1:9" ht="89.25" x14ac:dyDescent="0.2">
      <c r="B24" s="18" t="s">
        <v>61</v>
      </c>
      <c r="C24" s="19" t="s">
        <v>12</v>
      </c>
      <c r="D24" s="20" t="s">
        <v>221</v>
      </c>
      <c r="E24" s="91">
        <f>(E10+E11)*0.8</f>
        <v>34.800000000000004</v>
      </c>
      <c r="F24" s="115"/>
      <c r="G24" s="21" t="str">
        <f t="shared" ref="G24" si="3">IF(F24="","",E24*F24)</f>
        <v/>
      </c>
      <c r="I24" s="76">
        <v>18</v>
      </c>
    </row>
    <row r="25" spans="1:9" ht="38.25" x14ac:dyDescent="0.2">
      <c r="B25" s="18" t="s">
        <v>62</v>
      </c>
      <c r="C25" s="19" t="s">
        <v>12</v>
      </c>
      <c r="D25" s="20" t="s">
        <v>206</v>
      </c>
      <c r="E25" s="91">
        <f>'3. VOZIŠČNE KONSTRUKCIJE'!E22*0.32</f>
        <v>32</v>
      </c>
      <c r="F25" s="115"/>
      <c r="G25" s="21" t="str">
        <f t="shared" ref="G25:G26" si="4">IF(F25="","",E25*F25)</f>
        <v/>
      </c>
      <c r="I25" s="65">
        <v>0</v>
      </c>
    </row>
    <row r="26" spans="1:9" ht="38.25" x14ac:dyDescent="0.2">
      <c r="B26" s="18" t="s">
        <v>63</v>
      </c>
      <c r="C26" s="19" t="s">
        <v>12</v>
      </c>
      <c r="D26" s="20" t="s">
        <v>205</v>
      </c>
      <c r="E26" s="91">
        <f>'3. VOZIŠČNE KONSTRUKCIJE'!E23*0.42</f>
        <v>252</v>
      </c>
      <c r="F26" s="115"/>
      <c r="G26" s="21" t="str">
        <f t="shared" si="4"/>
        <v/>
      </c>
      <c r="I26" s="65">
        <v>0</v>
      </c>
    </row>
    <row r="27" spans="1:9" x14ac:dyDescent="0.2">
      <c r="E27" s="15" t="str">
        <f>IF(SUM(E30:E31)=0,0,"")</f>
        <v/>
      </c>
      <c r="F27" s="15"/>
      <c r="G27" s="15"/>
    </row>
    <row r="28" spans="1:9" ht="21.2" customHeight="1" x14ac:dyDescent="0.3">
      <c r="B28" s="145" t="s">
        <v>81</v>
      </c>
      <c r="C28" s="146"/>
      <c r="D28" s="146"/>
      <c r="E28" s="16" t="str">
        <f>IF(SUM(E30:E31)=0,0,"")</f>
        <v/>
      </c>
      <c r="F28" s="16"/>
      <c r="G28" s="17"/>
    </row>
    <row r="29" spans="1:9" x14ac:dyDescent="0.2">
      <c r="E29" s="15" t="str">
        <f>IF(SUM(E30:E31)=0,0,"")</f>
        <v/>
      </c>
      <c r="F29" s="15"/>
      <c r="G29" s="15"/>
    </row>
    <row r="30" spans="1:9" ht="38.25" x14ac:dyDescent="0.2">
      <c r="B30" s="18" t="s">
        <v>64</v>
      </c>
      <c r="C30" s="19" t="s">
        <v>8</v>
      </c>
      <c r="D30" s="20" t="s">
        <v>252</v>
      </c>
      <c r="E30" s="91">
        <v>50</v>
      </c>
      <c r="F30" s="115"/>
      <c r="G30" s="21" t="str">
        <f t="shared" ref="G30:G31" si="5">IF(F30="","",E30*F30)</f>
        <v/>
      </c>
      <c r="I30" s="71">
        <v>0</v>
      </c>
    </row>
    <row r="31" spans="1:9" ht="25.5" x14ac:dyDescent="0.2">
      <c r="B31" s="18" t="s">
        <v>65</v>
      </c>
      <c r="C31" s="19" t="s">
        <v>8</v>
      </c>
      <c r="D31" s="20" t="s">
        <v>186</v>
      </c>
      <c r="E31" s="91">
        <f>E30</f>
        <v>50</v>
      </c>
      <c r="F31" s="115"/>
      <c r="G31" s="21" t="str">
        <f t="shared" si="5"/>
        <v/>
      </c>
      <c r="I31" s="71">
        <v>0</v>
      </c>
    </row>
    <row r="32" spans="1:9" x14ac:dyDescent="0.2">
      <c r="E32" s="15"/>
      <c r="F32" s="15"/>
      <c r="G32" s="15"/>
    </row>
    <row r="33" spans="2:9" ht="21.2" customHeight="1" x14ac:dyDescent="0.3">
      <c r="B33" s="145" t="s">
        <v>82</v>
      </c>
      <c r="C33" s="146"/>
      <c r="D33" s="146"/>
      <c r="E33" s="16"/>
      <c r="F33" s="16"/>
      <c r="G33" s="17"/>
    </row>
    <row r="34" spans="2:9" x14ac:dyDescent="0.2">
      <c r="E34" s="15"/>
      <c r="F34" s="15"/>
      <c r="G34" s="15"/>
    </row>
    <row r="35" spans="2:9" ht="25.5" x14ac:dyDescent="0.2">
      <c r="B35" s="18" t="s">
        <v>67</v>
      </c>
      <c r="C35" s="19" t="s">
        <v>66</v>
      </c>
      <c r="D35" s="20" t="s">
        <v>187</v>
      </c>
      <c r="E35" s="91">
        <f>E37+E38+E39</f>
        <v>1007.463</v>
      </c>
      <c r="F35" s="115"/>
      <c r="G35" s="21" t="str">
        <f t="shared" ref="G35:G39" si="6">IF(F35="","",E35*F35)</f>
        <v/>
      </c>
      <c r="I35" s="69">
        <v>0</v>
      </c>
    </row>
    <row r="36" spans="2:9" ht="51" x14ac:dyDescent="0.2">
      <c r="B36" s="18" t="s">
        <v>68</v>
      </c>
      <c r="C36" s="19" t="s">
        <v>66</v>
      </c>
      <c r="D36" s="116" t="s">
        <v>222</v>
      </c>
      <c r="E36" s="91">
        <f>(('1. PREDDELA'!E32)*0.07+('1. PREDDELA'!E33)*0.1)*2.3</f>
        <v>10.074000000000002</v>
      </c>
      <c r="F36" s="115"/>
      <c r="G36" s="21" t="str">
        <f t="shared" si="6"/>
        <v/>
      </c>
      <c r="I36" s="70">
        <v>0</v>
      </c>
    </row>
    <row r="37" spans="2:9" ht="38.25" x14ac:dyDescent="0.2">
      <c r="B37" s="18" t="s">
        <v>69</v>
      </c>
      <c r="C37" s="19" t="s">
        <v>66</v>
      </c>
      <c r="D37" s="20" t="s">
        <v>177</v>
      </c>
      <c r="E37" s="91">
        <f>(E8+E9+E10)*1.5</f>
        <v>922.125</v>
      </c>
      <c r="F37" s="115"/>
      <c r="G37" s="21" t="str">
        <f t="shared" si="6"/>
        <v/>
      </c>
      <c r="I37" s="70">
        <v>0</v>
      </c>
    </row>
    <row r="38" spans="2:9" ht="38.25" x14ac:dyDescent="0.2">
      <c r="B38" s="18" t="s">
        <v>70</v>
      </c>
      <c r="C38" s="19" t="s">
        <v>66</v>
      </c>
      <c r="D38" s="20" t="s">
        <v>178</v>
      </c>
      <c r="E38" s="91">
        <f>(('1. PREDDELA'!E27)*0.1+('1. PREDDELA'!E32)*0.04+('1. PREDDELA'!E26*0.05))*2.3</f>
        <v>47.288000000000004</v>
      </c>
      <c r="F38" s="115"/>
      <c r="G38" s="21" t="str">
        <f t="shared" si="6"/>
        <v/>
      </c>
      <c r="I38" s="70">
        <v>0</v>
      </c>
    </row>
    <row r="39" spans="2:9" ht="51" x14ac:dyDescent="0.2">
      <c r="B39" s="18" t="s">
        <v>71</v>
      </c>
      <c r="C39" s="19" t="s">
        <v>66</v>
      </c>
      <c r="D39" s="20" t="s">
        <v>179</v>
      </c>
      <c r="E39" s="91">
        <f>(('1. PREDDELA'!E37*80/1000)+('1. PREDDELA'!E44*120/1000)+(('1. PREDDELA'!E43)*170/1000)+(('1. PREDDELA'!E29)*400/1000)+('1. PREDDELA'!E38*50/1000)+('1. PREDDELA'!E39*60/1000))*2.5</f>
        <v>38.049999999999997</v>
      </c>
      <c r="F39" s="115"/>
      <c r="G39" s="21" t="str">
        <f t="shared" si="6"/>
        <v/>
      </c>
      <c r="I39" s="70">
        <v>0</v>
      </c>
    </row>
    <row r="40" spans="2:9" ht="13.5" thickBot="1" x14ac:dyDescent="0.25">
      <c r="B40" s="121"/>
      <c r="C40" s="122"/>
      <c r="D40" s="123"/>
      <c r="E40" s="124"/>
      <c r="F40" s="124"/>
      <c r="G40" s="124"/>
      <c r="I40" s="40"/>
    </row>
    <row r="41" spans="2:9" ht="16.5" thickBot="1" x14ac:dyDescent="0.25">
      <c r="D41" s="26" t="s">
        <v>72</v>
      </c>
      <c r="E41" s="27"/>
      <c r="F41" s="142" t="str">
        <f>IF(SUM(G8:G39)=0,"",SUM(G8:G39))</f>
        <v/>
      </c>
      <c r="G41" s="143"/>
    </row>
  </sheetData>
  <sheetProtection algorithmName="SHA-512" hashValue="PdVvq5LOH+y9KO5+bdcAErnVbesWSuUHZH9iUNv5OdG/ud4P8UgBnfSpnil5UVE5y7ah+97vvW+fxhu4MQ2KBA==" saltValue="LpdroVgvE9n/N+oYirwOMw==" spinCount="100000" sheet="1" objects="1" scenarios="1"/>
  <autoFilter ref="E1:G41">
    <filterColumn colId="0">
      <filters blank="1">
        <filter val="1.012,50"/>
        <filter val="11,25"/>
        <filter val="19,50"/>
        <filter val="220,00"/>
        <filter val="24,00"/>
        <filter val="252,00"/>
        <filter val="3,75"/>
        <filter val="34,80"/>
        <filter val="38,05"/>
        <filter val="47,29"/>
        <filter val="570,00"/>
        <filter val="661,50"/>
        <filter val="675,00"/>
        <filter val="901,13"/>
        <filter val="986,46"/>
        <filter val="količina"/>
      </filters>
    </filterColumn>
  </autoFilter>
  <dataConsolidate/>
  <mergeCells count="8">
    <mergeCell ref="B4:G4"/>
    <mergeCell ref="B6:D6"/>
    <mergeCell ref="B13:D13"/>
    <mergeCell ref="B18:D18"/>
    <mergeCell ref="F41:G41"/>
    <mergeCell ref="B22:D22"/>
    <mergeCell ref="B28:D28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7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46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48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39</v>
      </c>
      <c r="C2" s="8" t="s">
        <v>44</v>
      </c>
      <c r="D2" s="8" t="s">
        <v>40</v>
      </c>
      <c r="E2" s="9" t="s">
        <v>41</v>
      </c>
      <c r="F2" s="9" t="s">
        <v>42</v>
      </c>
      <c r="G2" s="9" t="s">
        <v>43</v>
      </c>
      <c r="I2" s="49" t="s">
        <v>49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50"/>
    </row>
    <row r="4" spans="1:9" ht="15.75" x14ac:dyDescent="0.2">
      <c r="B4" s="144" t="s">
        <v>83</v>
      </c>
      <c r="C4" s="144"/>
      <c r="D4" s="144"/>
      <c r="E4" s="144"/>
      <c r="F4" s="144"/>
      <c r="G4" s="144"/>
    </row>
    <row r="5" spans="1:9" ht="12.75" customHeight="1" x14ac:dyDescent="0.2">
      <c r="B5" s="98"/>
      <c r="C5" s="98"/>
      <c r="D5" s="98"/>
      <c r="E5" s="127"/>
      <c r="F5" s="127"/>
      <c r="G5" s="127"/>
    </row>
    <row r="6" spans="1:9" ht="21.2" customHeight="1" x14ac:dyDescent="0.3">
      <c r="B6" s="145" t="s">
        <v>102</v>
      </c>
      <c r="C6" s="146"/>
      <c r="D6" s="146"/>
      <c r="E6" s="16"/>
      <c r="F6" s="16"/>
      <c r="G6" s="17"/>
    </row>
    <row r="7" spans="1:9" ht="21.2" customHeight="1" x14ac:dyDescent="0.25">
      <c r="B7" s="147" t="s">
        <v>84</v>
      </c>
      <c r="C7" s="147"/>
      <c r="D7" s="147"/>
      <c r="E7" s="23"/>
      <c r="F7" s="23"/>
      <c r="G7" s="23"/>
    </row>
    <row r="8" spans="1:9" ht="13.5" x14ac:dyDescent="0.25">
      <c r="E8" s="86"/>
      <c r="F8" s="86"/>
      <c r="G8" s="86"/>
    </row>
    <row r="9" spans="1:9" ht="38.25" x14ac:dyDescent="0.2">
      <c r="B9" s="18" t="s">
        <v>137</v>
      </c>
      <c r="C9" s="19" t="s">
        <v>12</v>
      </c>
      <c r="D9" s="20" t="s">
        <v>260</v>
      </c>
      <c r="E9" s="91">
        <f>E22*0.22</f>
        <v>22</v>
      </c>
      <c r="F9" s="115"/>
      <c r="G9" s="21" t="str">
        <f t="shared" ref="G9:G11" si="0">IF(F9="","",E9*F9)</f>
        <v/>
      </c>
      <c r="I9" s="62">
        <v>20</v>
      </c>
    </row>
    <row r="10" spans="1:9" s="125" customFormat="1" ht="51" x14ac:dyDescent="0.2">
      <c r="A10" s="117"/>
      <c r="B10" s="118" t="s">
        <v>138</v>
      </c>
      <c r="C10" s="119" t="s">
        <v>12</v>
      </c>
      <c r="D10" s="116" t="s">
        <v>261</v>
      </c>
      <c r="E10" s="91">
        <f>(E15*0.26)+(E16*0.32)</f>
        <v>183</v>
      </c>
      <c r="F10" s="126"/>
      <c r="G10" s="91" t="str">
        <f t="shared" si="0"/>
        <v/>
      </c>
      <c r="I10" s="62">
        <v>22</v>
      </c>
    </row>
    <row r="11" spans="1:9" ht="38.25" x14ac:dyDescent="0.2">
      <c r="B11" s="18" t="s">
        <v>139</v>
      </c>
      <c r="C11" s="19" t="s">
        <v>12</v>
      </c>
      <c r="D11" s="20" t="s">
        <v>166</v>
      </c>
      <c r="E11" s="91">
        <f>(E15+E16+E22)*0.05</f>
        <v>35</v>
      </c>
      <c r="F11" s="115"/>
      <c r="G11" s="21" t="str">
        <f t="shared" si="0"/>
        <v/>
      </c>
      <c r="I11" s="66">
        <v>5</v>
      </c>
    </row>
    <row r="12" spans="1:9" x14ac:dyDescent="0.2">
      <c r="E12" s="15"/>
      <c r="F12" s="15"/>
      <c r="G12" s="15"/>
    </row>
    <row r="13" spans="1:9" ht="21.75" customHeight="1" x14ac:dyDescent="0.25">
      <c r="B13" s="148" t="s">
        <v>140</v>
      </c>
      <c r="C13" s="148"/>
      <c r="D13" s="148"/>
      <c r="E13" s="86" t="str">
        <f>IF(SUM(E15:E16)=0,0,"")</f>
        <v/>
      </c>
      <c r="F13" s="86"/>
      <c r="G13" s="86"/>
    </row>
    <row r="14" spans="1:9" x14ac:dyDescent="0.2">
      <c r="E14" s="15" t="str">
        <f>IF(SUM(E15:E16)=0,0,"")</f>
        <v/>
      </c>
      <c r="F14" s="15"/>
      <c r="G14" s="15"/>
    </row>
    <row r="15" spans="1:9" ht="89.25" x14ac:dyDescent="0.2">
      <c r="B15" s="18" t="s">
        <v>141</v>
      </c>
      <c r="C15" s="19" t="s">
        <v>8</v>
      </c>
      <c r="D15" s="20" t="s">
        <v>244</v>
      </c>
      <c r="E15" s="91">
        <v>150</v>
      </c>
      <c r="F15" s="115"/>
      <c r="G15" s="21" t="str">
        <f t="shared" ref="G15" si="1">IF(F15="","",E15*F15)</f>
        <v/>
      </c>
      <c r="I15" s="68">
        <v>0</v>
      </c>
    </row>
    <row r="16" spans="1:9" ht="89.25" x14ac:dyDescent="0.2">
      <c r="B16" s="18" t="s">
        <v>142</v>
      </c>
      <c r="C16" s="19" t="s">
        <v>8</v>
      </c>
      <c r="D16" s="20" t="s">
        <v>243</v>
      </c>
      <c r="E16" s="91">
        <v>450</v>
      </c>
      <c r="F16" s="115"/>
      <c r="G16" s="21" t="str">
        <f t="shared" ref="G16" si="2">IF(F16="","",E16*F16)</f>
        <v/>
      </c>
      <c r="I16" s="68">
        <v>0</v>
      </c>
    </row>
    <row r="17" spans="1:9" x14ac:dyDescent="0.2">
      <c r="E17" s="15"/>
      <c r="F17" s="15"/>
      <c r="G17" s="15"/>
    </row>
    <row r="18" spans="1:9" ht="21.2" customHeight="1" x14ac:dyDescent="0.3">
      <c r="B18" s="145" t="s">
        <v>143</v>
      </c>
      <c r="C18" s="146"/>
      <c r="D18" s="146"/>
      <c r="E18" s="16"/>
      <c r="F18" s="16"/>
      <c r="G18" s="17"/>
    </row>
    <row r="19" spans="1:9" s="14" customFormat="1" x14ac:dyDescent="0.2">
      <c r="A19" s="10"/>
      <c r="B19" s="128"/>
      <c r="C19" s="129"/>
      <c r="D19" s="130"/>
      <c r="E19" s="131"/>
      <c r="F19" s="131"/>
      <c r="G19" s="131"/>
      <c r="I19" s="50"/>
    </row>
    <row r="20" spans="1:9" s="14" customFormat="1" ht="27" customHeight="1" x14ac:dyDescent="0.25">
      <c r="A20" s="10"/>
      <c r="B20" s="149" t="s">
        <v>144</v>
      </c>
      <c r="C20" s="149"/>
      <c r="D20" s="149"/>
      <c r="E20" s="132"/>
      <c r="F20" s="132"/>
      <c r="G20" s="132"/>
      <c r="I20" s="50"/>
    </row>
    <row r="21" spans="1:9" s="14" customFormat="1" x14ac:dyDescent="0.2">
      <c r="A21" s="10"/>
      <c r="B21" s="128"/>
      <c r="C21" s="129"/>
      <c r="D21" s="130"/>
      <c r="E21" s="131"/>
      <c r="F21" s="131"/>
      <c r="G21" s="131"/>
      <c r="I21" s="50"/>
    </row>
    <row r="22" spans="1:9" ht="76.5" x14ac:dyDescent="0.2">
      <c r="B22" s="18" t="s">
        <v>145</v>
      </c>
      <c r="C22" s="19" t="s">
        <v>8</v>
      </c>
      <c r="D22" s="20" t="s">
        <v>213</v>
      </c>
      <c r="E22" s="91">
        <v>100</v>
      </c>
      <c r="F22" s="115"/>
      <c r="G22" s="21" t="str">
        <f t="shared" ref="G22:G23" si="3">IF(F22="","",E22*F22)</f>
        <v/>
      </c>
      <c r="I22" s="64">
        <v>10</v>
      </c>
    </row>
    <row r="23" spans="1:9" ht="102" x14ac:dyDescent="0.2">
      <c r="B23" s="18" t="s">
        <v>146</v>
      </c>
      <c r="C23" s="19" t="s">
        <v>8</v>
      </c>
      <c r="D23" s="20" t="s">
        <v>245</v>
      </c>
      <c r="E23" s="91">
        <f>E15+E16</f>
        <v>600</v>
      </c>
      <c r="F23" s="115"/>
      <c r="G23" s="21" t="str">
        <f t="shared" si="3"/>
        <v/>
      </c>
      <c r="I23" s="67">
        <v>0</v>
      </c>
    </row>
    <row r="24" spans="1:9" x14ac:dyDescent="0.2">
      <c r="E24" s="15" t="str">
        <f>IF(SUM(E27:E29)=0,0,"")</f>
        <v/>
      </c>
      <c r="F24" s="15"/>
      <c r="G24" s="15"/>
    </row>
    <row r="25" spans="1:9" ht="27" customHeight="1" x14ac:dyDescent="0.25">
      <c r="B25" s="148" t="s">
        <v>147</v>
      </c>
      <c r="C25" s="148"/>
      <c r="D25" s="148"/>
      <c r="E25" s="86" t="str">
        <f>IF(SUM(E27:E29)=0,0,"")</f>
        <v/>
      </c>
      <c r="F25" s="86"/>
      <c r="G25" s="86"/>
    </row>
    <row r="26" spans="1:9" x14ac:dyDescent="0.2">
      <c r="E26" s="15" t="str">
        <f>IF(SUM(E27:E29)=0,0,"")</f>
        <v/>
      </c>
      <c r="F26" s="15"/>
      <c r="G26" s="15"/>
    </row>
    <row r="27" spans="1:9" ht="38.25" x14ac:dyDescent="0.2">
      <c r="B27" s="18" t="s">
        <v>148</v>
      </c>
      <c r="C27" s="19" t="s">
        <v>8</v>
      </c>
      <c r="D27" s="20" t="s">
        <v>183</v>
      </c>
      <c r="E27" s="91">
        <f>'1. PREDDELA'!E31+'1. PREDDELA'!E32+'1. PREDDELA'!E33</f>
        <v>50.5</v>
      </c>
      <c r="F27" s="115"/>
      <c r="G27" s="21" t="str">
        <f t="shared" ref="G27:G29" si="4">IF(F27="","",E27*F27)</f>
        <v/>
      </c>
      <c r="I27" s="70">
        <v>0</v>
      </c>
    </row>
    <row r="28" spans="1:9" ht="25.5" x14ac:dyDescent="0.2">
      <c r="B28" s="18" t="s">
        <v>149</v>
      </c>
      <c r="C28" s="19" t="s">
        <v>8</v>
      </c>
      <c r="D28" s="20" t="s">
        <v>167</v>
      </c>
      <c r="E28" s="91">
        <f>E27</f>
        <v>50.5</v>
      </c>
      <c r="F28" s="115"/>
      <c r="G28" s="21" t="str">
        <f t="shared" si="4"/>
        <v/>
      </c>
      <c r="I28" s="70">
        <v>0</v>
      </c>
    </row>
    <row r="29" spans="1:9" ht="25.5" x14ac:dyDescent="0.2">
      <c r="B29" s="18" t="s">
        <v>150</v>
      </c>
      <c r="C29" s="19" t="s">
        <v>11</v>
      </c>
      <c r="D29" s="20" t="s">
        <v>188</v>
      </c>
      <c r="E29" s="91">
        <f>'1. PREDDELA'!E34+'1. PREDDELA'!E35+'1. PREDDELA'!E36</f>
        <v>106</v>
      </c>
      <c r="F29" s="115"/>
      <c r="G29" s="21" t="str">
        <f t="shared" si="4"/>
        <v/>
      </c>
      <c r="I29" s="70">
        <v>0</v>
      </c>
    </row>
    <row r="30" spans="1:9" x14ac:dyDescent="0.2">
      <c r="E30" s="15" t="str">
        <f>IF(SUM(E33:E33)=0,0,"")</f>
        <v/>
      </c>
      <c r="F30" s="15"/>
      <c r="G30" s="15"/>
    </row>
    <row r="31" spans="1:9" ht="21.2" customHeight="1" x14ac:dyDescent="0.3">
      <c r="B31" s="145" t="s">
        <v>151</v>
      </c>
      <c r="C31" s="146"/>
      <c r="D31" s="146"/>
      <c r="E31" s="16" t="str">
        <f>IF(SUM(E33:E33)=0,0,"")</f>
        <v/>
      </c>
      <c r="F31" s="16"/>
      <c r="G31" s="17"/>
    </row>
    <row r="32" spans="1:9" x14ac:dyDescent="0.2">
      <c r="E32" s="15" t="str">
        <f>IF(SUM(E33:E33)=0,0,"")</f>
        <v/>
      </c>
      <c r="F32" s="15"/>
      <c r="G32" s="15"/>
    </row>
    <row r="33" spans="2:9" ht="38.25" x14ac:dyDescent="0.2">
      <c r="B33" s="18" t="s">
        <v>218</v>
      </c>
      <c r="C33" s="19" t="s">
        <v>4</v>
      </c>
      <c r="D33" s="20" t="s">
        <v>217</v>
      </c>
      <c r="E33" s="91">
        <f>28+28+27</f>
        <v>83</v>
      </c>
      <c r="F33" s="115"/>
      <c r="G33" s="21" t="str">
        <f t="shared" ref="G33" si="5">IF(F33="","",E33*F33)</f>
        <v/>
      </c>
      <c r="I33" s="65">
        <v>0</v>
      </c>
    </row>
    <row r="34" spans="2:9" ht="13.5" x14ac:dyDescent="0.25">
      <c r="B34" s="121"/>
      <c r="C34" s="122"/>
      <c r="D34" s="123"/>
      <c r="E34" s="133"/>
      <c r="F34" s="124"/>
      <c r="G34" s="133"/>
      <c r="I34" s="40"/>
    </row>
    <row r="35" spans="2:9" ht="21.2" customHeight="1" x14ac:dyDescent="0.3">
      <c r="B35" s="145" t="s">
        <v>152</v>
      </c>
      <c r="C35" s="146"/>
      <c r="D35" s="146"/>
      <c r="E35" s="16"/>
      <c r="F35" s="16"/>
      <c r="G35" s="17"/>
    </row>
    <row r="36" spans="2:9" x14ac:dyDescent="0.2">
      <c r="E36" s="15" t="str">
        <f>IF(SUM(E39:E40)=0,0,"")</f>
        <v/>
      </c>
      <c r="F36" s="15"/>
      <c r="G36" s="15"/>
    </row>
    <row r="37" spans="2:9" ht="21.2" customHeight="1" x14ac:dyDescent="0.25">
      <c r="B37" s="148" t="s">
        <v>153</v>
      </c>
      <c r="C37" s="148"/>
      <c r="D37" s="148"/>
      <c r="E37" s="86" t="str">
        <f>IF(SUM(E39:E40)=0,0,"")</f>
        <v/>
      </c>
      <c r="F37" s="86"/>
      <c r="G37" s="86"/>
    </row>
    <row r="38" spans="2:9" x14ac:dyDescent="0.2">
      <c r="E38" s="15" t="str">
        <f>IF(SUM(E39:E40)=0,0,"")</f>
        <v/>
      </c>
      <c r="F38" s="15"/>
      <c r="G38" s="15"/>
    </row>
    <row r="39" spans="2:9" ht="38.25" x14ac:dyDescent="0.2">
      <c r="B39" s="18" t="s">
        <v>155</v>
      </c>
      <c r="C39" s="19" t="s">
        <v>11</v>
      </c>
      <c r="D39" s="20" t="s">
        <v>168</v>
      </c>
      <c r="E39" s="91">
        <v>50</v>
      </c>
      <c r="F39" s="115"/>
      <c r="G39" s="21" t="str">
        <f t="shared" ref="G39:G40" si="6">IF(F39="","",E39*F39)</f>
        <v/>
      </c>
      <c r="I39" s="63">
        <v>20</v>
      </c>
    </row>
    <row r="40" spans="2:9" ht="38.25" x14ac:dyDescent="0.2">
      <c r="B40" s="18" t="s">
        <v>156</v>
      </c>
      <c r="C40" s="19" t="s">
        <v>11</v>
      </c>
      <c r="D40" s="20" t="s">
        <v>169</v>
      </c>
      <c r="E40" s="91">
        <v>10</v>
      </c>
      <c r="F40" s="115"/>
      <c r="G40" s="21" t="str">
        <f t="shared" si="6"/>
        <v/>
      </c>
      <c r="I40" s="70">
        <v>0</v>
      </c>
    </row>
    <row r="41" spans="2:9" x14ac:dyDescent="0.2">
      <c r="E41" s="15" t="str">
        <f>IF(SUM(E44:E44)=0,0,"")</f>
        <v/>
      </c>
      <c r="F41" s="15"/>
      <c r="G41" s="15"/>
    </row>
    <row r="42" spans="2:9" ht="21.2" customHeight="1" x14ac:dyDescent="0.25">
      <c r="B42" s="148" t="s">
        <v>154</v>
      </c>
      <c r="C42" s="148"/>
      <c r="D42" s="148"/>
      <c r="E42" s="86" t="str">
        <f>IF(SUM(E44:E44)=0,0,"")</f>
        <v/>
      </c>
      <c r="F42" s="86"/>
      <c r="G42" s="86"/>
    </row>
    <row r="43" spans="2:9" x14ac:dyDescent="0.2">
      <c r="E43" s="15" t="str">
        <f>IF(SUM(E44:E44)=0,0,"")</f>
        <v/>
      </c>
      <c r="F43" s="15"/>
      <c r="G43" s="15"/>
    </row>
    <row r="44" spans="2:9" ht="38.25" x14ac:dyDescent="0.2">
      <c r="B44" s="18" t="s">
        <v>157</v>
      </c>
      <c r="C44" s="19" t="s">
        <v>11</v>
      </c>
      <c r="D44" s="20" t="s">
        <v>253</v>
      </c>
      <c r="E44" s="91">
        <v>40</v>
      </c>
      <c r="F44" s="115"/>
      <c r="G44" s="21" t="str">
        <f t="shared" ref="G44" si="7">IF(F44="","",E44*F44)</f>
        <v/>
      </c>
      <c r="I44" s="61">
        <v>15</v>
      </c>
    </row>
    <row r="45" spans="2:9" ht="13.5" thickBot="1" x14ac:dyDescent="0.25"/>
    <row r="46" spans="2:9" ht="16.5" thickBot="1" x14ac:dyDescent="0.25">
      <c r="D46" s="26" t="s">
        <v>101</v>
      </c>
      <c r="E46" s="27"/>
      <c r="F46" s="142" t="str">
        <f>IF(SUM(G9:G44)=0,"",SUM(G9:G44))</f>
        <v/>
      </c>
      <c r="G46" s="143"/>
    </row>
  </sheetData>
  <sheetProtection algorithmName="SHA-512" hashValue="1QqkhtqY09GRpm6bVmiM6u1aLDUG6SPdkR8HRI/79jAtdNmRHJJ1ImWhyzQDOXgy6agWOdZ6vdIs7deZ/lxE0g==" saltValue="pFxvNCn9t3qiUmPQb3bOXQ==" spinCount="100000" sheet="1" objects="1" scenarios="1"/>
  <autoFilter ref="E1:G46">
    <filterColumn colId="0">
      <filters blank="1">
        <filter val="10,00"/>
        <filter val="150,00"/>
        <filter val="16,50"/>
        <filter val="183,00"/>
        <filter val="21,75"/>
        <filter val="33,75"/>
        <filter val="35,00"/>
        <filter val="450,00"/>
        <filter val="46,00"/>
        <filter val="50,00"/>
        <filter val="600,00"/>
        <filter val="75,00"/>
        <filter val="76,00"/>
        <filter val="količina"/>
      </filters>
    </filterColumn>
  </autoFilter>
  <dataConsolidate/>
  <mergeCells count="12">
    <mergeCell ref="B37:D37"/>
    <mergeCell ref="F46:G46"/>
    <mergeCell ref="B25:D25"/>
    <mergeCell ref="B31:D31"/>
    <mergeCell ref="B35:D35"/>
    <mergeCell ref="B42:D42"/>
    <mergeCell ref="B20:D20"/>
    <mergeCell ref="B4:G4"/>
    <mergeCell ref="B6:D6"/>
    <mergeCell ref="B7:D7"/>
    <mergeCell ref="B18:D18"/>
    <mergeCell ref="B13:D1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27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4.7109375" style="4" customWidth="1"/>
    <col min="5" max="5" width="9.140625" style="5"/>
    <col min="6" max="6" width="9.140625" style="5" customWidth="1"/>
    <col min="7" max="7" width="9.7109375" style="5" customWidth="1"/>
    <col min="8" max="8" width="3.5703125" style="6" customWidth="1"/>
    <col min="9" max="9" width="8.42578125" style="51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39</v>
      </c>
      <c r="C2" s="8" t="s">
        <v>44</v>
      </c>
      <c r="D2" s="8" t="s">
        <v>40</v>
      </c>
      <c r="E2" s="9" t="s">
        <v>41</v>
      </c>
      <c r="F2" s="9" t="s">
        <v>42</v>
      </c>
      <c r="G2" s="9" t="s">
        <v>43</v>
      </c>
      <c r="I2" s="52" t="s">
        <v>49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53"/>
    </row>
    <row r="4" spans="1:9" ht="15.75" x14ac:dyDescent="0.2">
      <c r="B4" s="144" t="s">
        <v>85</v>
      </c>
      <c r="C4" s="144"/>
      <c r="D4" s="144"/>
      <c r="E4" s="144"/>
      <c r="F4" s="144"/>
      <c r="G4" s="144"/>
    </row>
    <row r="5" spans="1:9" x14ac:dyDescent="0.2">
      <c r="E5" s="15"/>
      <c r="F5" s="15"/>
      <c r="G5" s="15"/>
    </row>
    <row r="6" spans="1:9" ht="21.2" customHeight="1" x14ac:dyDescent="0.3">
      <c r="B6" s="145" t="s">
        <v>86</v>
      </c>
      <c r="C6" s="146"/>
      <c r="D6" s="146"/>
      <c r="E6" s="16"/>
      <c r="F6" s="16"/>
      <c r="G6" s="17"/>
    </row>
    <row r="7" spans="1:9" x14ac:dyDescent="0.2">
      <c r="E7" s="15"/>
      <c r="F7" s="15"/>
      <c r="G7" s="15"/>
    </row>
    <row r="8" spans="1:9" ht="63.75" x14ac:dyDescent="0.2">
      <c r="B8" s="18" t="s">
        <v>87</v>
      </c>
      <c r="C8" s="19" t="s">
        <v>11</v>
      </c>
      <c r="D8" s="20" t="s">
        <v>207</v>
      </c>
      <c r="E8" s="91">
        <v>65</v>
      </c>
      <c r="F8" s="115"/>
      <c r="G8" s="21" t="str">
        <f t="shared" ref="G8:G9" si="0">IF(F8="","",E8*F8)</f>
        <v/>
      </c>
      <c r="I8" s="55">
        <v>29.36</v>
      </c>
    </row>
    <row r="9" spans="1:9" ht="63.75" x14ac:dyDescent="0.2">
      <c r="B9" s="18" t="s">
        <v>88</v>
      </c>
      <c r="C9" s="19" t="s">
        <v>11</v>
      </c>
      <c r="D9" s="20" t="s">
        <v>208</v>
      </c>
      <c r="E9" s="91">
        <f>+E8</f>
        <v>65</v>
      </c>
      <c r="F9" s="115"/>
      <c r="G9" s="21" t="str">
        <f t="shared" si="0"/>
        <v/>
      </c>
      <c r="I9" s="55">
        <v>3.5</v>
      </c>
    </row>
    <row r="10" spans="1:9" ht="38.25" x14ac:dyDescent="0.2">
      <c r="B10" s="18" t="s">
        <v>89</v>
      </c>
      <c r="C10" s="19" t="s">
        <v>11</v>
      </c>
      <c r="D10" s="20" t="s">
        <v>209</v>
      </c>
      <c r="E10" s="91">
        <v>15</v>
      </c>
      <c r="F10" s="115"/>
      <c r="G10" s="21" t="str">
        <f t="shared" ref="G10" si="1">IF(F10="","",E10*F10)</f>
        <v/>
      </c>
      <c r="I10" s="54">
        <v>0</v>
      </c>
    </row>
    <row r="11" spans="1:9" ht="63.75" x14ac:dyDescent="0.2">
      <c r="B11" s="18" t="s">
        <v>90</v>
      </c>
      <c r="C11" s="19" t="s">
        <v>11</v>
      </c>
      <c r="D11" s="20" t="s">
        <v>229</v>
      </c>
      <c r="E11" s="91">
        <f>+E8</f>
        <v>65</v>
      </c>
      <c r="F11" s="115"/>
      <c r="G11" s="21" t="str">
        <f t="shared" ref="G11:G12" si="2">IF(F11="","",E11*F11)</f>
        <v/>
      </c>
      <c r="I11" s="56">
        <v>3.6</v>
      </c>
    </row>
    <row r="12" spans="1:9" ht="51" x14ac:dyDescent="0.2">
      <c r="B12" s="18" t="s">
        <v>91</v>
      </c>
      <c r="C12" s="19" t="s">
        <v>11</v>
      </c>
      <c r="D12" s="20" t="s">
        <v>230</v>
      </c>
      <c r="E12" s="91">
        <f>E11</f>
        <v>65</v>
      </c>
      <c r="F12" s="115"/>
      <c r="G12" s="21" t="str">
        <f t="shared" si="2"/>
        <v/>
      </c>
      <c r="I12" s="55">
        <v>1.04</v>
      </c>
    </row>
    <row r="13" spans="1:9" s="125" customFormat="1" ht="51" x14ac:dyDescent="0.2">
      <c r="A13" s="117"/>
      <c r="B13" s="118" t="s">
        <v>184</v>
      </c>
      <c r="C13" s="119" t="s">
        <v>4</v>
      </c>
      <c r="D13" s="116" t="s">
        <v>246</v>
      </c>
      <c r="E13" s="97">
        <v>2</v>
      </c>
      <c r="F13" s="126"/>
      <c r="G13" s="91" t="str">
        <f t="shared" ref="G13" si="3">IF(F13="","",E13*F13)</f>
        <v/>
      </c>
      <c r="I13" s="43"/>
    </row>
    <row r="14" spans="1:9" x14ac:dyDescent="0.2">
      <c r="B14" s="121"/>
      <c r="C14" s="122"/>
      <c r="D14" s="123"/>
      <c r="E14" s="124"/>
      <c r="F14" s="124"/>
      <c r="G14" s="124"/>
      <c r="I14" s="40"/>
    </row>
    <row r="15" spans="1:9" ht="21.2" customHeight="1" x14ac:dyDescent="0.3">
      <c r="B15" s="145" t="s">
        <v>92</v>
      </c>
      <c r="C15" s="146"/>
      <c r="D15" s="146"/>
      <c r="E15" s="16"/>
      <c r="F15" s="16"/>
      <c r="G15" s="17"/>
    </row>
    <row r="16" spans="1:9" ht="12.75" customHeight="1" x14ac:dyDescent="0.3">
      <c r="B16" s="134"/>
      <c r="C16" s="134"/>
      <c r="D16" s="134"/>
      <c r="E16" s="135"/>
      <c r="F16" s="135"/>
      <c r="G16" s="135"/>
      <c r="I16" s="58"/>
    </row>
    <row r="17" spans="2:9" ht="63.75" x14ac:dyDescent="0.2">
      <c r="B17" s="118" t="s">
        <v>93</v>
      </c>
      <c r="C17" s="119" t="s">
        <v>4</v>
      </c>
      <c r="D17" s="116" t="s">
        <v>255</v>
      </c>
      <c r="E17" s="91">
        <f>+E18+E19</f>
        <v>6</v>
      </c>
      <c r="F17" s="126"/>
      <c r="G17" s="21" t="str">
        <f t="shared" ref="G17" si="4">IF(F17="","",E17*F17)</f>
        <v/>
      </c>
      <c r="I17" s="59">
        <v>0</v>
      </c>
    </row>
    <row r="18" spans="2:9" ht="38.25" x14ac:dyDescent="0.2">
      <c r="B18" s="18" t="s">
        <v>94</v>
      </c>
      <c r="C18" s="19" t="s">
        <v>4</v>
      </c>
      <c r="D18" s="136" t="s">
        <v>214</v>
      </c>
      <c r="E18" s="91">
        <v>3</v>
      </c>
      <c r="F18" s="115"/>
      <c r="G18" s="21" t="str">
        <f t="shared" ref="G18:G20" si="5">IF(F18="","",E18*F18)</f>
        <v/>
      </c>
      <c r="I18" s="59">
        <v>0</v>
      </c>
    </row>
    <row r="19" spans="2:9" ht="38.25" x14ac:dyDescent="0.2">
      <c r="B19" s="18" t="s">
        <v>215</v>
      </c>
      <c r="C19" s="19" t="s">
        <v>4</v>
      </c>
      <c r="D19" s="136" t="s">
        <v>216</v>
      </c>
      <c r="E19" s="91">
        <v>3</v>
      </c>
      <c r="F19" s="115"/>
      <c r="G19" s="21" t="str">
        <f t="shared" si="5"/>
        <v/>
      </c>
      <c r="I19" s="60">
        <v>289</v>
      </c>
    </row>
    <row r="20" spans="2:9" ht="63.75" x14ac:dyDescent="0.2">
      <c r="B20" s="18" t="s">
        <v>95</v>
      </c>
      <c r="C20" s="19" t="s">
        <v>4</v>
      </c>
      <c r="D20" s="20" t="s">
        <v>210</v>
      </c>
      <c r="E20" s="91">
        <v>10</v>
      </c>
      <c r="F20" s="115"/>
      <c r="G20" s="21" t="str">
        <f t="shared" si="5"/>
        <v/>
      </c>
      <c r="I20" s="59">
        <v>0</v>
      </c>
    </row>
    <row r="21" spans="2:9" ht="25.5" x14ac:dyDescent="0.2">
      <c r="B21" s="18" t="s">
        <v>185</v>
      </c>
      <c r="C21" s="19" t="s">
        <v>4</v>
      </c>
      <c r="D21" s="20" t="s">
        <v>172</v>
      </c>
      <c r="E21" s="91">
        <v>2</v>
      </c>
      <c r="F21" s="115"/>
      <c r="G21" s="21" t="str">
        <f t="shared" ref="G21" si="6">IF(F21="","",E21*F21)</f>
        <v/>
      </c>
      <c r="I21" s="57">
        <v>0</v>
      </c>
    </row>
    <row r="22" spans="2:9" x14ac:dyDescent="0.2">
      <c r="E22" s="15" t="str">
        <f>IF(SUM(E25:E25)=0,0,"")</f>
        <v/>
      </c>
      <c r="F22" s="15"/>
      <c r="G22" s="15"/>
    </row>
    <row r="23" spans="2:9" ht="21.2" customHeight="1" x14ac:dyDescent="0.3">
      <c r="B23" s="145" t="s">
        <v>96</v>
      </c>
      <c r="C23" s="146"/>
      <c r="D23" s="146"/>
      <c r="E23" s="16" t="str">
        <f>IF(SUM(E25:E25)=0,0,"")</f>
        <v/>
      </c>
      <c r="F23" s="16"/>
      <c r="G23" s="17"/>
    </row>
    <row r="24" spans="2:9" x14ac:dyDescent="0.2">
      <c r="E24" s="15" t="str">
        <f>IF(SUM(E25:E25)=0,0,"")</f>
        <v/>
      </c>
      <c r="F24" s="15"/>
      <c r="G24" s="15"/>
    </row>
    <row r="25" spans="2:9" ht="38.25" x14ac:dyDescent="0.2">
      <c r="B25" s="18" t="s">
        <v>97</v>
      </c>
      <c r="C25" s="19" t="s">
        <v>4</v>
      </c>
      <c r="D25" s="20" t="s">
        <v>247</v>
      </c>
      <c r="E25" s="91">
        <v>1</v>
      </c>
      <c r="F25" s="115"/>
      <c r="G25" s="21" t="str">
        <f t="shared" ref="G25" si="7">IF(F25="","",E25*F25)</f>
        <v/>
      </c>
      <c r="I25" s="40"/>
    </row>
    <row r="26" spans="2:9" ht="13.5" thickBot="1" x14ac:dyDescent="0.25">
      <c r="B26" s="121"/>
      <c r="C26" s="122"/>
      <c r="D26" s="123"/>
      <c r="E26" s="124"/>
      <c r="F26" s="124"/>
      <c r="G26" s="124"/>
      <c r="I26" s="40"/>
    </row>
    <row r="27" spans="2:9" ht="16.5" thickBot="1" x14ac:dyDescent="0.25">
      <c r="D27" s="26" t="s">
        <v>100</v>
      </c>
      <c r="E27" s="27"/>
      <c r="F27" s="142" t="str">
        <f>IF(SUM(G5:G25)=0,"",SUM(G5:G25))</f>
        <v/>
      </c>
      <c r="G27" s="143"/>
    </row>
  </sheetData>
  <sheetProtection algorithmName="SHA-512" hashValue="m+vQffKXl4CrEFYPCOQAUsjt4/DV1v/weTSgj/QFyXV9Pe5GnL8R9TsU9LTEx2XHSpUNVs7pDs4y0DAf6I6R8Q==" saltValue="fQ+dzQOBmxAc/2Lg+pI2qA==" spinCount="100000" sheet="1" objects="1" scenarios="1"/>
  <autoFilter ref="E1:G27">
    <filterColumn colId="0">
      <filters blank="1">
        <filter val="1,00"/>
        <filter val="15,00"/>
        <filter val="2,00"/>
        <filter val="22,00"/>
        <filter val="3,00"/>
        <filter val="40,00"/>
        <filter val="6,00"/>
        <filter val="65,00"/>
        <filter val="količina"/>
      </filters>
    </filterColumn>
  </autoFilter>
  <dataConsolidate/>
  <mergeCells count="5">
    <mergeCell ref="B4:G4"/>
    <mergeCell ref="F27:G27"/>
    <mergeCell ref="B6:D6"/>
    <mergeCell ref="B15:D15"/>
    <mergeCell ref="B23:D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33" customWidth="1"/>
    <col min="2" max="2" width="6.28515625" style="29" customWidth="1"/>
    <col min="3" max="3" width="5.28515625" style="30" customWidth="1"/>
    <col min="4" max="4" width="45.42578125" style="31" customWidth="1"/>
    <col min="5" max="5" width="9.140625" style="44"/>
    <col min="6" max="6" width="9.140625" style="32" customWidth="1"/>
    <col min="7" max="7" width="9.7109375" style="32" customWidth="1"/>
    <col min="8" max="8" width="4" style="40" customWidth="1"/>
    <col min="9" max="9" width="16.85546875" style="48" hidden="1" customWidth="1"/>
    <col min="10" max="10" width="9.140625" style="40" customWidth="1"/>
    <col min="11" max="16384" width="9.140625" style="40"/>
  </cols>
  <sheetData>
    <row r="1" spans="1:9" x14ac:dyDescent="0.2">
      <c r="A1" s="28"/>
    </row>
    <row r="2" spans="1:9" ht="24.95" customHeight="1" x14ac:dyDescent="0.2">
      <c r="B2" s="34" t="s">
        <v>39</v>
      </c>
      <c r="C2" s="34" t="s">
        <v>44</v>
      </c>
      <c r="D2" s="34" t="s">
        <v>40</v>
      </c>
      <c r="E2" s="45" t="s">
        <v>41</v>
      </c>
      <c r="F2" s="35" t="s">
        <v>42</v>
      </c>
      <c r="G2" s="35" t="s">
        <v>43</v>
      </c>
      <c r="I2" s="49" t="s">
        <v>49</v>
      </c>
    </row>
    <row r="3" spans="1:9" s="41" customFormat="1" x14ac:dyDescent="0.2">
      <c r="A3" s="36"/>
      <c r="B3" s="37"/>
      <c r="C3" s="37"/>
      <c r="D3" s="38"/>
      <c r="E3" s="46"/>
      <c r="F3" s="39"/>
      <c r="G3" s="39"/>
      <c r="I3" s="50"/>
    </row>
    <row r="4" spans="1:9" ht="15.75" x14ac:dyDescent="0.2">
      <c r="B4" s="150" t="s">
        <v>98</v>
      </c>
      <c r="C4" s="150"/>
      <c r="D4" s="150"/>
      <c r="E4" s="151"/>
      <c r="F4" s="150"/>
      <c r="G4" s="150"/>
    </row>
    <row r="5" spans="1:9" ht="13.5" thickBot="1" x14ac:dyDescent="0.25"/>
    <row r="6" spans="1:9" ht="16.5" thickBot="1" x14ac:dyDescent="0.25">
      <c r="D6" s="42" t="s">
        <v>99</v>
      </c>
      <c r="E6" s="47"/>
      <c r="F6" s="152" t="str">
        <f>IF(SUM(G5)=0,"",SUM(G5))</f>
        <v/>
      </c>
      <c r="G6" s="153"/>
    </row>
  </sheetData>
  <sheetProtection algorithmName="SHA-512" hashValue="NdsC24q/pP1Bjqq6KM3JaebD/ToBYgleFT7AXdHSKsqmnP7tRO5TgilQaiKkb7/aleLxjcnCulSyRM/vkk5zRw==" saltValue="8LJwCd2S443SkFN53798ew==" spinCount="100000" sheet="1" objects="1" scenarios="1"/>
  <autoFilter ref="E1:G6">
    <filterColumn colId="0">
      <filters>
        <filter val="količina"/>
      </filters>
    </filterColumn>
  </autoFilter>
  <dataConsolidate/>
  <mergeCells count="2">
    <mergeCell ref="B4:G4"/>
    <mergeCell ref="F6:G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30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93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39</v>
      </c>
      <c r="C2" s="8" t="s">
        <v>44</v>
      </c>
      <c r="D2" s="8" t="s">
        <v>40</v>
      </c>
      <c r="E2" s="9" t="s">
        <v>41</v>
      </c>
      <c r="F2" s="9" t="s">
        <v>42</v>
      </c>
      <c r="G2" s="9" t="s">
        <v>43</v>
      </c>
      <c r="I2" s="94" t="s">
        <v>49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95"/>
    </row>
    <row r="4" spans="1:9" ht="15.75" x14ac:dyDescent="0.2">
      <c r="B4" s="144" t="s">
        <v>104</v>
      </c>
      <c r="C4" s="144"/>
      <c r="D4" s="144"/>
      <c r="E4" s="144"/>
      <c r="F4" s="144"/>
      <c r="G4" s="144"/>
    </row>
    <row r="5" spans="1:9" ht="12.75" customHeight="1" x14ac:dyDescent="0.2">
      <c r="B5" s="98"/>
      <c r="C5" s="98"/>
      <c r="D5" s="98"/>
      <c r="E5" s="127" t="str">
        <f>IF(SUM(E8:E11)=0,0,"")</f>
        <v/>
      </c>
      <c r="F5" s="127"/>
      <c r="G5" s="127"/>
    </row>
    <row r="6" spans="1:9" ht="21.2" customHeight="1" x14ac:dyDescent="0.3">
      <c r="B6" s="145" t="s">
        <v>105</v>
      </c>
      <c r="C6" s="146"/>
      <c r="D6" s="146"/>
      <c r="E6" s="16" t="str">
        <f>IF(SUM(E8:E11)=0,0,"")</f>
        <v/>
      </c>
      <c r="F6" s="16"/>
      <c r="G6" s="17"/>
    </row>
    <row r="7" spans="1:9" x14ac:dyDescent="0.2">
      <c r="E7" s="137" t="str">
        <f>IF(SUM(E8:E11)=0,0,"")</f>
        <v/>
      </c>
      <c r="F7" s="137"/>
      <c r="G7" s="137"/>
    </row>
    <row r="8" spans="1:9" ht="51" x14ac:dyDescent="0.2">
      <c r="B8" s="18" t="s">
        <v>194</v>
      </c>
      <c r="C8" s="19" t="s">
        <v>4</v>
      </c>
      <c r="D8" s="20" t="s">
        <v>220</v>
      </c>
      <c r="E8" s="91">
        <v>2</v>
      </c>
      <c r="F8" s="115"/>
      <c r="G8" s="21" t="str">
        <f t="shared" ref="G8:G9" si="0">IF(F8="","",E8*F8)</f>
        <v/>
      </c>
      <c r="I8" s="93">
        <v>0</v>
      </c>
    </row>
    <row r="9" spans="1:9" ht="38.25" x14ac:dyDescent="0.2">
      <c r="B9" s="18" t="s">
        <v>106</v>
      </c>
      <c r="C9" s="19" t="s">
        <v>4</v>
      </c>
      <c r="D9" s="20" t="s">
        <v>211</v>
      </c>
      <c r="E9" s="91">
        <v>2</v>
      </c>
      <c r="F9" s="115"/>
      <c r="G9" s="21" t="str">
        <f t="shared" si="0"/>
        <v/>
      </c>
      <c r="I9" s="93">
        <v>0</v>
      </c>
    </row>
    <row r="10" spans="1:9" ht="51" x14ac:dyDescent="0.2">
      <c r="B10" s="18" t="s">
        <v>107</v>
      </c>
      <c r="C10" s="19" t="s">
        <v>4</v>
      </c>
      <c r="D10" s="20" t="s">
        <v>248</v>
      </c>
      <c r="E10" s="91">
        <v>1</v>
      </c>
      <c r="F10" s="115"/>
      <c r="G10" s="21" t="str">
        <f t="shared" ref="G10:G11" si="1">IF(F10="","",E10*F10)</f>
        <v/>
      </c>
      <c r="I10" s="93">
        <v>125</v>
      </c>
    </row>
    <row r="11" spans="1:9" ht="51" x14ac:dyDescent="0.2">
      <c r="B11" s="18" t="s">
        <v>108</v>
      </c>
      <c r="C11" s="19" t="s">
        <v>4</v>
      </c>
      <c r="D11" s="20" t="s">
        <v>249</v>
      </c>
      <c r="E11" s="91">
        <v>1</v>
      </c>
      <c r="F11" s="115"/>
      <c r="G11" s="21" t="str">
        <f t="shared" si="1"/>
        <v/>
      </c>
      <c r="I11" s="93">
        <v>150</v>
      </c>
    </row>
    <row r="12" spans="1:9" x14ac:dyDescent="0.2">
      <c r="E12" s="15" t="str">
        <f>IF(SUM(E15:E24)=0,0,"")</f>
        <v/>
      </c>
      <c r="F12" s="15"/>
      <c r="G12" s="15"/>
    </row>
    <row r="13" spans="1:9" ht="21.2" customHeight="1" x14ac:dyDescent="0.3">
      <c r="B13" s="145" t="s">
        <v>109</v>
      </c>
      <c r="C13" s="146"/>
      <c r="D13" s="146"/>
      <c r="E13" s="16" t="str">
        <f>IF(SUM(E15:E24)=0,0,"")</f>
        <v/>
      </c>
      <c r="F13" s="16"/>
      <c r="G13" s="17"/>
    </row>
    <row r="14" spans="1:9" x14ac:dyDescent="0.2">
      <c r="E14" s="15" t="str">
        <f>IF(SUM(E15:E24)=0,0,"")</f>
        <v/>
      </c>
      <c r="F14" s="15"/>
      <c r="G14" s="15"/>
    </row>
    <row r="15" spans="1:9" ht="63.75" x14ac:dyDescent="0.2">
      <c r="B15" s="18" t="s">
        <v>110</v>
      </c>
      <c r="C15" s="19" t="s">
        <v>11</v>
      </c>
      <c r="D15" s="20" t="s">
        <v>267</v>
      </c>
      <c r="E15" s="91">
        <v>90</v>
      </c>
      <c r="F15" s="115"/>
      <c r="G15" s="21" t="str">
        <f t="shared" ref="G15" si="2">IF(F15="","",E15*F15)</f>
        <v/>
      </c>
      <c r="I15" s="93">
        <v>0</v>
      </c>
    </row>
    <row r="16" spans="1:9" ht="38.25" x14ac:dyDescent="0.2">
      <c r="B16" s="18" t="s">
        <v>111</v>
      </c>
      <c r="C16" s="19" t="s">
        <v>11</v>
      </c>
      <c r="D16" s="20" t="s">
        <v>268</v>
      </c>
      <c r="E16" s="91">
        <v>30</v>
      </c>
      <c r="F16" s="115"/>
      <c r="G16" s="21" t="str">
        <f t="shared" ref="G16:G21" si="3">IF(F16="","",E16*F16)</f>
        <v/>
      </c>
      <c r="I16" s="93">
        <v>0</v>
      </c>
    </row>
    <row r="17" spans="2:9" ht="63.75" x14ac:dyDescent="0.2">
      <c r="B17" s="18" t="s">
        <v>112</v>
      </c>
      <c r="C17" s="19" t="s">
        <v>11</v>
      </c>
      <c r="D17" s="116" t="s">
        <v>269</v>
      </c>
      <c r="E17" s="91">
        <v>250</v>
      </c>
      <c r="F17" s="115"/>
      <c r="G17" s="21" t="str">
        <f t="shared" si="3"/>
        <v/>
      </c>
      <c r="I17" s="93">
        <v>0</v>
      </c>
    </row>
    <row r="18" spans="2:9" ht="63.75" x14ac:dyDescent="0.2">
      <c r="B18" s="18" t="s">
        <v>113</v>
      </c>
      <c r="C18" s="19" t="s">
        <v>11</v>
      </c>
      <c r="D18" s="116" t="s">
        <v>270</v>
      </c>
      <c r="E18" s="91">
        <v>200</v>
      </c>
      <c r="F18" s="115"/>
      <c r="G18" s="21" t="str">
        <f t="shared" si="3"/>
        <v/>
      </c>
      <c r="I18" s="93">
        <v>0</v>
      </c>
    </row>
    <row r="19" spans="2:9" ht="89.25" x14ac:dyDescent="0.2">
      <c r="B19" s="18" t="s">
        <v>114</v>
      </c>
      <c r="C19" s="19" t="s">
        <v>8</v>
      </c>
      <c r="D19" s="20" t="s">
        <v>265</v>
      </c>
      <c r="E19" s="91">
        <v>4.5</v>
      </c>
      <c r="F19" s="115"/>
      <c r="G19" s="21" t="str">
        <f t="shared" si="3"/>
        <v/>
      </c>
      <c r="I19" s="93">
        <v>0</v>
      </c>
    </row>
    <row r="20" spans="2:9" ht="89.25" x14ac:dyDescent="0.2">
      <c r="B20" s="18" t="s">
        <v>115</v>
      </c>
      <c r="C20" s="19" t="s">
        <v>8</v>
      </c>
      <c r="D20" s="20" t="s">
        <v>266</v>
      </c>
      <c r="E20" s="91">
        <v>6</v>
      </c>
      <c r="F20" s="115"/>
      <c r="G20" s="21" t="str">
        <f t="shared" si="3"/>
        <v/>
      </c>
      <c r="I20" s="93">
        <v>0</v>
      </c>
    </row>
    <row r="21" spans="2:9" ht="89.25" x14ac:dyDescent="0.2">
      <c r="B21" s="18" t="s">
        <v>116</v>
      </c>
      <c r="C21" s="19" t="s">
        <v>8</v>
      </c>
      <c r="D21" s="20" t="s">
        <v>264</v>
      </c>
      <c r="E21" s="91">
        <f>38+26</f>
        <v>64</v>
      </c>
      <c r="F21" s="115"/>
      <c r="G21" s="21" t="str">
        <f t="shared" si="3"/>
        <v/>
      </c>
      <c r="I21" s="93">
        <v>30</v>
      </c>
    </row>
    <row r="22" spans="2:9" ht="76.5" x14ac:dyDescent="0.2">
      <c r="B22" s="18" t="s">
        <v>117</v>
      </c>
      <c r="C22" s="19" t="s">
        <v>8</v>
      </c>
      <c r="D22" s="154" t="s">
        <v>274</v>
      </c>
      <c r="E22" s="21">
        <f>40+42</f>
        <v>82</v>
      </c>
      <c r="F22" s="115"/>
      <c r="G22" s="21" t="str">
        <f t="shared" ref="G22" si="4">IF(F22="","",E22*F22)</f>
        <v/>
      </c>
      <c r="I22" s="93">
        <v>0</v>
      </c>
    </row>
    <row r="23" spans="2:9" ht="38.25" x14ac:dyDescent="0.2">
      <c r="B23" s="18" t="s">
        <v>118</v>
      </c>
      <c r="C23" s="19" t="s">
        <v>11</v>
      </c>
      <c r="D23" s="20" t="s">
        <v>271</v>
      </c>
      <c r="E23" s="91">
        <f>E17+30</f>
        <v>280</v>
      </c>
      <c r="F23" s="115"/>
      <c r="G23" s="21" t="str">
        <f t="shared" ref="G23:G24" si="5">IF(F23="","",E23*F23)</f>
        <v/>
      </c>
      <c r="I23" s="93">
        <v>0</v>
      </c>
    </row>
    <row r="24" spans="2:9" ht="63.75" x14ac:dyDescent="0.2">
      <c r="B24" s="18" t="s">
        <v>119</v>
      </c>
      <c r="C24" s="19" t="s">
        <v>8</v>
      </c>
      <c r="D24" s="20" t="s">
        <v>272</v>
      </c>
      <c r="E24" s="91">
        <v>70</v>
      </c>
      <c r="F24" s="115"/>
      <c r="G24" s="21" t="str">
        <f t="shared" si="5"/>
        <v/>
      </c>
      <c r="I24" s="93">
        <v>0</v>
      </c>
    </row>
    <row r="25" spans="2:9" x14ac:dyDescent="0.2">
      <c r="E25" s="15" t="str">
        <f>IF(SUM(E28:E28)=0,0,"")</f>
        <v/>
      </c>
      <c r="F25" s="15"/>
      <c r="G25" s="15"/>
    </row>
    <row r="26" spans="2:9" ht="21.2" customHeight="1" x14ac:dyDescent="0.3">
      <c r="B26" s="145" t="s">
        <v>120</v>
      </c>
      <c r="C26" s="146"/>
      <c r="D26" s="146"/>
      <c r="E26" s="16" t="str">
        <f>IF(SUM(E28:E28)=0,0,"")</f>
        <v/>
      </c>
      <c r="F26" s="16"/>
      <c r="G26" s="17"/>
    </row>
    <row r="27" spans="2:9" x14ac:dyDescent="0.2">
      <c r="E27" s="15" t="str">
        <f>IF(SUM(E28:E28)=0,0,"")</f>
        <v/>
      </c>
      <c r="F27" s="15"/>
      <c r="G27" s="15"/>
    </row>
    <row r="28" spans="2:9" ht="25.5" x14ac:dyDescent="0.2">
      <c r="B28" s="18" t="s">
        <v>212</v>
      </c>
      <c r="C28" s="19" t="s">
        <v>4</v>
      </c>
      <c r="D28" s="20" t="s">
        <v>250</v>
      </c>
      <c r="E28" s="91">
        <v>5</v>
      </c>
      <c r="F28" s="115"/>
      <c r="G28" s="21" t="str">
        <f t="shared" ref="G28" si="6">IF(F28="","",E28*F28)</f>
        <v/>
      </c>
      <c r="I28" s="93">
        <v>0</v>
      </c>
    </row>
    <row r="29" spans="2:9" ht="13.5" thickBot="1" x14ac:dyDescent="0.25">
      <c r="I29" s="40"/>
    </row>
    <row r="30" spans="2:9" ht="16.5" thickBot="1" x14ac:dyDescent="0.25">
      <c r="D30" s="26" t="s">
        <v>103</v>
      </c>
      <c r="E30" s="27"/>
      <c r="F30" s="142" t="str">
        <f>IF(SUM(G8:G28)=0,"",SUM(G8:G28))</f>
        <v/>
      </c>
      <c r="G30" s="143"/>
    </row>
  </sheetData>
  <sheetProtection algorithmName="SHA-512" hashValue="UTkWjt8yObL0TZm+i4Wmr9kT67HBgw8V6cvgz2w/GWsiiGinLTWQuvu+AcdjaqDdO+Cu3pCSH/xI8G+tzGp2DQ==" saltValue="04C62vAy9u1eU0gY4WUALQ==" spinCount="100000" sheet="1" objects="1" scenarios="1"/>
  <autoFilter ref="E1:G30">
    <filterColumn colId="0">
      <filters blank="1">
        <filter val="1,00"/>
        <filter val="2,00"/>
        <filter val="200,00"/>
        <filter val="250,00"/>
        <filter val="30,00"/>
        <filter val="4,50"/>
        <filter val="40,00"/>
        <filter val="5,00"/>
        <filter val="6,00"/>
        <filter val="64,00"/>
        <filter val="70,00"/>
        <filter val="90,00"/>
        <filter val="količina"/>
      </filters>
    </filterColumn>
  </autoFilter>
  <dataConsolidate/>
  <mergeCells count="5">
    <mergeCell ref="F30:G30"/>
    <mergeCell ref="B4:G4"/>
    <mergeCell ref="B6:D6"/>
    <mergeCell ref="B13:D13"/>
    <mergeCell ref="B26:D2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34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5703125" style="3" customWidth="1"/>
    <col min="4" max="4" width="43.85546875" style="4" customWidth="1"/>
    <col min="5" max="5" width="9.140625" style="5"/>
    <col min="6" max="6" width="10.28515625" style="5" customWidth="1"/>
    <col min="7" max="7" width="9.7109375" style="5" customWidth="1"/>
    <col min="8" max="8" width="4" style="6" customWidth="1"/>
    <col min="9" max="9" width="6" style="93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39</v>
      </c>
      <c r="C2" s="8" t="s">
        <v>44</v>
      </c>
      <c r="D2" s="8" t="s">
        <v>40</v>
      </c>
      <c r="E2" s="9" t="s">
        <v>41</v>
      </c>
      <c r="F2" s="9" t="s">
        <v>42</v>
      </c>
      <c r="G2" s="9" t="s">
        <v>43</v>
      </c>
      <c r="I2" s="94" t="s">
        <v>49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95"/>
    </row>
    <row r="4" spans="1:9" ht="15.75" x14ac:dyDescent="0.2">
      <c r="B4" s="144" t="s">
        <v>122</v>
      </c>
      <c r="C4" s="144"/>
      <c r="D4" s="144"/>
      <c r="E4" s="144"/>
      <c r="F4" s="144"/>
      <c r="G4" s="144"/>
    </row>
    <row r="5" spans="1:9" ht="12.75" customHeight="1" x14ac:dyDescent="0.2">
      <c r="B5" s="121"/>
      <c r="C5" s="122"/>
      <c r="D5" s="123"/>
      <c r="E5" s="124" t="str">
        <f>IF(SUM(E8:E8)=0,0,"")</f>
        <v/>
      </c>
      <c r="F5" s="124"/>
      <c r="G5" s="124"/>
      <c r="I5" s="40"/>
    </row>
    <row r="6" spans="1:9" ht="21.2" customHeight="1" x14ac:dyDescent="0.3">
      <c r="B6" s="145" t="s">
        <v>123</v>
      </c>
      <c r="C6" s="146"/>
      <c r="D6" s="146"/>
      <c r="E6" s="16" t="str">
        <f>IF(SUM(E8:E8)=0,0,"")</f>
        <v/>
      </c>
      <c r="F6" s="16"/>
      <c r="G6" s="17"/>
    </row>
    <row r="7" spans="1:9" x14ac:dyDescent="0.2">
      <c r="E7" s="137" t="str">
        <f>IF(SUM(E8:E8)=0,0,"")</f>
        <v/>
      </c>
      <c r="F7" s="137"/>
      <c r="G7" s="137"/>
    </row>
    <row r="8" spans="1:9" ht="51" x14ac:dyDescent="0.2">
      <c r="B8" s="18" t="s">
        <v>124</v>
      </c>
      <c r="C8" s="19" t="s">
        <v>191</v>
      </c>
      <c r="D8" s="20" t="s">
        <v>227</v>
      </c>
      <c r="E8" s="91">
        <v>45</v>
      </c>
      <c r="F8" s="115"/>
      <c r="G8" s="21" t="str">
        <f>IF(F8="","",E8*F8)</f>
        <v/>
      </c>
      <c r="I8" s="93">
        <v>0</v>
      </c>
    </row>
    <row r="9" spans="1:9" ht="12.75" customHeight="1" x14ac:dyDescent="0.2">
      <c r="E9" s="137" t="str">
        <f>IF(SUM(E10:E12)=0,0,"")</f>
        <v/>
      </c>
      <c r="F9" s="137"/>
      <c r="G9" s="137"/>
    </row>
    <row r="10" spans="1:9" ht="21.2" customHeight="1" x14ac:dyDescent="0.3">
      <c r="B10" s="145" t="s">
        <v>125</v>
      </c>
      <c r="C10" s="146"/>
      <c r="D10" s="146"/>
      <c r="E10" s="16" t="str">
        <f>IF(SUM(E12:E12)=0,0,"")</f>
        <v/>
      </c>
      <c r="F10" s="16"/>
      <c r="G10" s="17"/>
    </row>
    <row r="11" spans="1:9" ht="12.75" customHeight="1" x14ac:dyDescent="0.2">
      <c r="E11" s="137" t="str">
        <f>IF(SUM(E12:E12)=0,0,"")</f>
        <v/>
      </c>
      <c r="F11" s="137"/>
      <c r="G11" s="137"/>
    </row>
    <row r="12" spans="1:9" ht="51" x14ac:dyDescent="0.2">
      <c r="B12" s="18" t="s">
        <v>126</v>
      </c>
      <c r="C12" s="19" t="s">
        <v>191</v>
      </c>
      <c r="D12" s="20" t="s">
        <v>226</v>
      </c>
      <c r="E12" s="91">
        <v>15</v>
      </c>
      <c r="F12" s="115"/>
      <c r="G12" s="21" t="str">
        <f t="shared" ref="G12" si="0">IF(F12="","",E12*F12)</f>
        <v/>
      </c>
      <c r="I12" s="93">
        <v>0</v>
      </c>
    </row>
    <row r="13" spans="1:9" ht="12.75" customHeight="1" x14ac:dyDescent="0.2">
      <c r="E13" s="137" t="str">
        <f>IF(SUM(E16:E16)=0,0,"")</f>
        <v/>
      </c>
      <c r="F13" s="137"/>
      <c r="G13" s="137"/>
    </row>
    <row r="14" spans="1:9" ht="21.2" customHeight="1" x14ac:dyDescent="0.3">
      <c r="B14" s="145" t="s">
        <v>127</v>
      </c>
      <c r="C14" s="146"/>
      <c r="D14" s="146"/>
      <c r="E14" s="16" t="str">
        <f>IF(SUM(E16:E16)=0,0,"")</f>
        <v/>
      </c>
      <c r="F14" s="16"/>
      <c r="G14" s="17"/>
    </row>
    <row r="15" spans="1:9" ht="12.75" customHeight="1" x14ac:dyDescent="0.2">
      <c r="E15" s="137" t="str">
        <f>IF(SUM(E16:E16)=0,0,"")</f>
        <v/>
      </c>
      <c r="F15" s="137"/>
      <c r="G15" s="137"/>
    </row>
    <row r="16" spans="1:9" ht="51" x14ac:dyDescent="0.2">
      <c r="B16" s="18" t="s">
        <v>202</v>
      </c>
      <c r="C16" s="19" t="s">
        <v>191</v>
      </c>
      <c r="D16" s="20" t="s">
        <v>224</v>
      </c>
      <c r="E16" s="91">
        <v>20</v>
      </c>
      <c r="F16" s="115"/>
      <c r="G16" s="21" t="str">
        <f t="shared" ref="G16" si="1">IF(F16="","",E16*F16)</f>
        <v/>
      </c>
      <c r="I16" s="40"/>
    </row>
    <row r="17" spans="2:9" x14ac:dyDescent="0.2">
      <c r="E17" s="137" t="str">
        <f>IF(SUM(E18:E20)=0,0,"")</f>
        <v/>
      </c>
      <c r="F17" s="137"/>
      <c r="G17" s="137"/>
    </row>
    <row r="18" spans="2:9" ht="21.2" customHeight="1" x14ac:dyDescent="0.3">
      <c r="B18" s="145" t="s">
        <v>128</v>
      </c>
      <c r="C18" s="146"/>
      <c r="D18" s="146"/>
      <c r="E18" s="16" t="str">
        <f>IF(SUM(E20:E20)=0,0,"")</f>
        <v/>
      </c>
      <c r="F18" s="16"/>
      <c r="G18" s="17"/>
    </row>
    <row r="19" spans="2:9" x14ac:dyDescent="0.2">
      <c r="E19" s="137" t="str">
        <f>IF(SUM(E20:E20)=0,0,"")</f>
        <v/>
      </c>
      <c r="F19" s="137"/>
      <c r="G19" s="137"/>
    </row>
    <row r="20" spans="2:9" ht="51" x14ac:dyDescent="0.2">
      <c r="B20" s="18" t="s">
        <v>129</v>
      </c>
      <c r="C20" s="19" t="s">
        <v>191</v>
      </c>
      <c r="D20" s="20" t="s">
        <v>225</v>
      </c>
      <c r="E20" s="91">
        <v>20</v>
      </c>
      <c r="F20" s="115"/>
      <c r="G20" s="21" t="str">
        <f>IF(F20="","",E20*F20)</f>
        <v/>
      </c>
      <c r="I20" s="93">
        <v>0</v>
      </c>
    </row>
    <row r="21" spans="2:9" x14ac:dyDescent="0.2">
      <c r="E21" s="137" t="str">
        <f>IF(SUM(E24:E24)=0,0,"")</f>
        <v/>
      </c>
      <c r="F21" s="137"/>
      <c r="G21" s="137"/>
    </row>
    <row r="22" spans="2:9" ht="21.2" customHeight="1" x14ac:dyDescent="0.3">
      <c r="B22" s="145" t="s">
        <v>130</v>
      </c>
      <c r="C22" s="146"/>
      <c r="D22" s="146"/>
      <c r="E22" s="16" t="str">
        <f>IF(SUM(E24:E24)=0,0,"")</f>
        <v/>
      </c>
      <c r="F22" s="16"/>
      <c r="G22" s="17"/>
    </row>
    <row r="23" spans="2:9" x14ac:dyDescent="0.2">
      <c r="E23" s="137" t="str">
        <f>IF(SUM(E24:E24)=0,0,"")</f>
        <v/>
      </c>
      <c r="F23" s="137"/>
      <c r="G23" s="137"/>
    </row>
    <row r="24" spans="2:9" ht="153" x14ac:dyDescent="0.2">
      <c r="B24" s="18" t="s">
        <v>131</v>
      </c>
      <c r="C24" s="19" t="s">
        <v>11</v>
      </c>
      <c r="D24" s="116" t="s">
        <v>263</v>
      </c>
      <c r="E24" s="91">
        <f>43.4+26.6</f>
        <v>70</v>
      </c>
      <c r="F24" s="126"/>
      <c r="G24" s="21" t="str">
        <f>IF(F24="","",E24*F24)</f>
        <v/>
      </c>
      <c r="I24" s="93">
        <v>0</v>
      </c>
    </row>
    <row r="25" spans="2:9" ht="12.75" customHeight="1" x14ac:dyDescent="0.2">
      <c r="E25" s="137" t="str">
        <f>IF(SUM(E28:E32)=0,0,"")</f>
        <v/>
      </c>
      <c r="F25" s="137"/>
      <c r="G25" s="137"/>
    </row>
    <row r="26" spans="2:9" ht="21.2" customHeight="1" x14ac:dyDescent="0.3">
      <c r="B26" s="145" t="s">
        <v>132</v>
      </c>
      <c r="C26" s="146"/>
      <c r="D26" s="146"/>
      <c r="E26" s="16" t="str">
        <f>IF(SUM(E28:E32)=0,0,"")</f>
        <v/>
      </c>
      <c r="F26" s="16"/>
      <c r="G26" s="17"/>
    </row>
    <row r="27" spans="2:9" ht="12.75" customHeight="1" x14ac:dyDescent="0.2">
      <c r="E27" s="137" t="str">
        <f>IF(SUM(E28:E32)=0,0,"")</f>
        <v/>
      </c>
      <c r="F27" s="137"/>
      <c r="G27" s="137"/>
    </row>
    <row r="28" spans="2:9" ht="25.5" x14ac:dyDescent="0.2">
      <c r="B28" s="18" t="s">
        <v>133</v>
      </c>
      <c r="C28" s="19" t="s">
        <v>134</v>
      </c>
      <c r="D28" s="20" t="s">
        <v>192</v>
      </c>
      <c r="E28" s="91">
        <v>15</v>
      </c>
      <c r="F28" s="115"/>
      <c r="G28" s="21" t="str">
        <f t="shared" ref="G28:G32" si="2">IF(F28="","",E28*F28)</f>
        <v/>
      </c>
      <c r="I28" s="93">
        <v>125</v>
      </c>
    </row>
    <row r="29" spans="2:9" ht="25.5" x14ac:dyDescent="0.2">
      <c r="B29" s="18" t="s">
        <v>135</v>
      </c>
      <c r="C29" s="19" t="s">
        <v>134</v>
      </c>
      <c r="D29" s="20" t="s">
        <v>193</v>
      </c>
      <c r="E29" s="91">
        <v>5</v>
      </c>
      <c r="F29" s="115"/>
      <c r="G29" s="21" t="str">
        <f t="shared" si="2"/>
        <v/>
      </c>
      <c r="I29" s="93">
        <v>125</v>
      </c>
    </row>
    <row r="30" spans="2:9" ht="38.25" x14ac:dyDescent="0.2">
      <c r="B30" s="18" t="s">
        <v>231</v>
      </c>
      <c r="C30" s="19" t="s">
        <v>232</v>
      </c>
      <c r="D30" s="116" t="s">
        <v>233</v>
      </c>
      <c r="E30" s="91">
        <v>30</v>
      </c>
      <c r="F30" s="115"/>
      <c r="G30" s="21" t="str">
        <f t="shared" si="2"/>
        <v/>
      </c>
      <c r="I30" s="40"/>
    </row>
    <row r="31" spans="2:9" ht="63.75" x14ac:dyDescent="0.2">
      <c r="B31" s="18" t="s">
        <v>136</v>
      </c>
      <c r="C31" s="19" t="s">
        <v>232</v>
      </c>
      <c r="D31" s="116" t="s">
        <v>234</v>
      </c>
      <c r="E31" s="91">
        <v>30</v>
      </c>
      <c r="F31" s="115"/>
      <c r="G31" s="21" t="str">
        <f t="shared" si="2"/>
        <v/>
      </c>
      <c r="I31" s="40"/>
    </row>
    <row r="32" spans="2:9" ht="51" x14ac:dyDescent="0.2">
      <c r="B32" s="18" t="s">
        <v>223</v>
      </c>
      <c r="C32" s="19" t="s">
        <v>4</v>
      </c>
      <c r="D32" s="20" t="s">
        <v>228</v>
      </c>
      <c r="E32" s="91">
        <v>1</v>
      </c>
      <c r="F32" s="115"/>
      <c r="G32" s="21" t="str">
        <f t="shared" si="2"/>
        <v/>
      </c>
      <c r="I32" s="93">
        <v>0</v>
      </c>
    </row>
    <row r="33" spans="4:7" ht="12.75" customHeight="1" thickBot="1" x14ac:dyDescent="0.25"/>
    <row r="34" spans="4:7" ht="16.5" thickBot="1" x14ac:dyDescent="0.25">
      <c r="D34" s="26" t="s">
        <v>121</v>
      </c>
      <c r="E34" s="27"/>
      <c r="F34" s="142" t="str">
        <f>IF(SUM(G6:G32)=0,"",SUM(G6:G32))</f>
        <v/>
      </c>
      <c r="G34" s="143"/>
    </row>
  </sheetData>
  <sheetProtection algorithmName="SHA-512" hashValue="nuV7J9wpOnCAIKi8/cF/+2LHzbiWg9eux9WP0JOfF5V136nSyv9g+IOI07zi1rHuMWMTEbUXVnwk8TxkIK1LHA==" saltValue="d/VPFCwADNUvLqZfu1zN/Q==" spinCount="100000" sheet="1" objects="1" scenarios="1"/>
  <autoFilter ref="E1:G34">
    <filterColumn colId="0">
      <filters blank="1">
        <filter val="1,00"/>
        <filter val="15,00"/>
        <filter val="20,00"/>
        <filter val="30,00"/>
        <filter val="45,00"/>
        <filter val="5,00"/>
        <filter val="količina"/>
      </filters>
    </filterColumn>
  </autoFilter>
  <dataConsolidate/>
  <mergeCells count="8">
    <mergeCell ref="B26:D26"/>
    <mergeCell ref="F34:G34"/>
    <mergeCell ref="B10:D10"/>
    <mergeCell ref="B4:G4"/>
    <mergeCell ref="B6:D6"/>
    <mergeCell ref="B14:D14"/>
    <mergeCell ref="B18:D18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45</vt:i4>
      </vt:variant>
    </vt:vector>
  </HeadingPairs>
  <TitlesOfParts>
    <vt:vector size="53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_4.5_Prepusti</vt:lpstr>
      <vt:lpstr>_6.1_Pokončna_oprema_cest</vt:lpstr>
      <vt:lpstr>_6.2_Označbe_na_voziščihž</vt:lpstr>
      <vt:lpstr>_6.4_Oprema_za_zavarovanje_prometa</vt:lpstr>
      <vt:lpstr>_7.2_Elektroenergetski_vodi</vt:lpstr>
      <vt:lpstr>_7.3_Telekomunikacijske_naprave</vt:lpstr>
      <vt:lpstr>_7.5_Javna_razsvetljava</vt:lpstr>
      <vt:lpstr>_7.6_vodovod</vt:lpstr>
      <vt:lpstr>_7.8_Železnica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2024-12-17T15:30:14Z</cp:lastPrinted>
  <dcterms:created xsi:type="dcterms:W3CDTF">2010-07-30T11:24:43Z</dcterms:created>
  <dcterms:modified xsi:type="dcterms:W3CDTF">2025-02-24T15:21:22Z</dcterms:modified>
</cp:coreProperties>
</file>