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C:\Users\bostjan\Desktop\0.2.1_Rekonstrukcija ceste in ureditev parkirišč ter pločnika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PREDDELA'!$B$51</definedName>
    <definedName name="_1.4_Predhodna_dela">'1. PREDDELA'!#REF!</definedName>
    <definedName name="_1.5_Geotehnika_predorov">'1. PREDDELA'!#REF!</definedName>
    <definedName name="_1_preddela_1" localSheetId="1">'1. PREDDELA'!$B$2:$F$57</definedName>
    <definedName name="_1_preddela_1" localSheetId="2">'2. ZEMELJSKA DELA'!$B$2:$F$48</definedName>
    <definedName name="_1_preddela_1" localSheetId="3">'3. VOZIŠČNE KONSTRUKCIJE'!$B$2:$F$54</definedName>
    <definedName name="_1_preddela_1" localSheetId="4">'4. ODVODNJAVANJE'!$B$2:$F$35</definedName>
    <definedName name="_1_preddela_1" localSheetId="5">'5. GRADBENA IN OBRTNIŠKA DELA'!$B$2:$F$26</definedName>
    <definedName name="_1_preddela_1" localSheetId="6">'6. OPREMA CEST'!$B$2:$F$45</definedName>
    <definedName name="_1_preddela_1" localSheetId="7">'7. TUJE STORITVE'!$B$2:$F$12</definedName>
    <definedName name="_1_preddela_2" localSheetId="6">'6. OPREMA CEST'!$B$2:$F$38</definedName>
    <definedName name="_2.1_Izkopi">'2. ZEMELJSKA DELA'!$B$6</definedName>
    <definedName name="_2.2_Planum_tal">'2. ZEMELJSKA DELA'!$B$14</definedName>
    <definedName name="_2.3_ločilne_drenažne_filterske_plasti">'2. ZEMELJSKA DELA'!$B$20</definedName>
    <definedName name="_2.4_Nasipi_zasipi_posteljica">'2. ZEMELJSKA DELA'!$B$24</definedName>
    <definedName name="_2.5_Brežine_zelenice">'2. ZEMELJSKA DELA'!$B$30</definedName>
    <definedName name="_2.6_Armiranje_zemljin">'2. ZEMELJSKA DELA'!$B$36</definedName>
    <definedName name="_2.7_Koli_vodnjaki">'2. ZEMELJSKA DELA'!#REF!</definedName>
    <definedName name="_2.8_Zagatne_stene">'2. ZEMELJSKA DELA'!#REF!</definedName>
    <definedName name="_2.9_prevozi_razprostiranje_materiala">'2. ZEMELJSKA DELA'!$B$40</definedName>
    <definedName name="_3.1_Nosilne_plasti">'3. VOZIŠČNE KONSTRUKCIJE'!$B$6</definedName>
    <definedName name="_3.2_Obrabne_plasti">'3. VOZIŠČNE KONSTRUKCIJE'!$B$18</definedName>
    <definedName name="_3.3_Vezane_nosilne_in_obrabne_plasti">'3. VOZIŠČNE KONSTRUKCIJE'!#REF!</definedName>
    <definedName name="_3.4_Tlakovane_obrabne_plasti">'3. VOZIŠČNE KONSTRUKCIJE'!$B$35</definedName>
    <definedName name="_3.5_Robni_elementi_vozišč">'3. VOZIŠČNE KONSTRUKCIJE'!$B$39</definedName>
    <definedName name="_4.1_Površinsko_odvodnjavanje">'4. ODVODNJAVANJE'!#REF!</definedName>
    <definedName name="_4.2_Drenaže">'4. ODVODNJAVANJE'!$B$6</definedName>
    <definedName name="_4.3_Kanalizacija">'4. ODVODNJAVANJE'!$B$11</definedName>
    <definedName name="_4.4_Jaški">'4. ODVODNJAVANJE'!$B$22</definedName>
    <definedName name="_4.5_Prepusti">'4. ODVODNJAVANJE'!#REF!</definedName>
    <definedName name="_4.6_Izviri_ponikovalnice">'4. ODVODNJAVANJE'!$B$31</definedName>
    <definedName name="_5.1_Tesarska_dela">'5. GRADBENA IN OBRTNIŠKA DELA'!$B$6</definedName>
    <definedName name="_5.2_Dela_z_jeklom">'5. GRADBENA IN OBRTNIŠKA DELA'!$B$13</definedName>
    <definedName name="_5.3_Dela_z_cementnim_betonom">'5. GRADBENA IN OBRTNIŠKA DELA'!$B$18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CEST'!$B$18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STORITVE'!#REF!</definedName>
    <definedName name="_7.3_Telekomunikacijske_naprave">'7. TUJE STORITVE'!#REF!</definedName>
    <definedName name="_7.4_klic_v_sili">'7. TUJE STORITVE'!#REF!</definedName>
    <definedName name="_7.5_Javna_razsvetljava">'7. TUJE STORITVE'!#REF!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STORITVE'!$B$6</definedName>
    <definedName name="_xlnm._FilterDatabase" localSheetId="1" hidden="1">'1. PREDDELA'!$E$1:$G$57</definedName>
    <definedName name="_xlnm._FilterDatabase" localSheetId="2" hidden="1">'2. ZEMELJSKA DELA'!$E$1:$G$48</definedName>
    <definedName name="_xlnm._FilterDatabase" localSheetId="3" hidden="1">'3. VOZIŠČNE KONSTRUKCIJE'!$E$1:$G$54</definedName>
    <definedName name="_xlnm._FilterDatabase" localSheetId="4" hidden="1">'4. ODVODNJAVANJE'!$E$1:$G$35</definedName>
    <definedName name="_xlnm._FilterDatabase" localSheetId="5" hidden="1">'5. GRADBENA IN OBRTNIŠKA DELA'!$E$1:$G$26</definedName>
    <definedName name="_xlnm._FilterDatabase" localSheetId="6" hidden="1">'6. OPREMA CEST'!$E$1:$G$45</definedName>
    <definedName name="_xlnm._FilterDatabase" localSheetId="7" hidden="1">'7. TUJE STORITVE'!$E$1:$G$12</definedName>
    <definedName name="Čiščenje_terena_1.2">'1. PREDDELA'!$B$13</definedName>
    <definedName name="Geodetska_dela_1.1">'1. PREDDELA'!$B$6</definedName>
    <definedName name="iri_ponikovalnice">'4. ODVODNJAVANJE'!$B$31</definedName>
    <definedName name="Ostala_preddela_1.3">'1. PREDDELA'!$B$51</definedName>
    <definedName name="_xlnm.Print_Area" localSheetId="5">'5. GRADBENA IN OBRTNIŠKA DELA'!$A$1:$G$26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52511"/>
</workbook>
</file>

<file path=xl/calcChain.xml><?xml version="1.0" encoding="utf-8"?>
<calcChain xmlns="http://schemas.openxmlformats.org/spreadsheetml/2006/main">
  <c r="E37" i="5" l="1"/>
  <c r="E46" i="4" l="1"/>
  <c r="E45" i="4"/>
  <c r="E44" i="4"/>
  <c r="E12" i="4"/>
  <c r="E11" i="4"/>
  <c r="E10" i="4"/>
  <c r="E25" i="6"/>
  <c r="E18" i="6"/>
  <c r="E17" i="6"/>
  <c r="E9" i="6"/>
  <c r="E33" i="5"/>
  <c r="E31" i="5"/>
  <c r="E26" i="5"/>
  <c r="E11" i="5"/>
  <c r="E24" i="7" l="1"/>
  <c r="E29" i="8" l="1"/>
  <c r="E28" i="8"/>
  <c r="E25" i="8"/>
  <c r="E27" i="8"/>
  <c r="E26" i="8"/>
  <c r="E22" i="8"/>
  <c r="E23" i="8"/>
  <c r="E21" i="8" s="1"/>
  <c r="E20" i="8" l="1"/>
  <c r="E33" i="8" l="1"/>
  <c r="E35" i="8"/>
  <c r="E22" i="7"/>
  <c r="E21" i="7"/>
  <c r="E11" i="7" l="1"/>
  <c r="E10" i="7"/>
  <c r="E9" i="7"/>
  <c r="E8" i="7"/>
  <c r="G36" i="8" l="1"/>
  <c r="E34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6" i="8"/>
  <c r="G15" i="8"/>
  <c r="G14" i="8"/>
  <c r="G13" i="8"/>
  <c r="G12" i="8"/>
  <c r="G11" i="8"/>
  <c r="G10" i="8"/>
  <c r="G9" i="8"/>
  <c r="G8" i="8"/>
  <c r="E7" i="8"/>
  <c r="E6" i="8"/>
  <c r="E5" i="8"/>
  <c r="E17" i="8" l="1"/>
  <c r="E19" i="8"/>
  <c r="E18" i="8"/>
  <c r="F38" i="8" l="1"/>
  <c r="H24" i="1" s="1"/>
  <c r="E24" i="6" l="1"/>
  <c r="E27" i="4"/>
  <c r="E8" i="4"/>
  <c r="E16" i="4"/>
  <c r="E52" i="5"/>
  <c r="E44" i="5"/>
  <c r="E9" i="5"/>
  <c r="E21" i="5"/>
  <c r="E10" i="5" l="1"/>
  <c r="E9" i="4"/>
  <c r="E17" i="4"/>
  <c r="E28" i="4"/>
  <c r="E18" i="4"/>
  <c r="E22" i="4"/>
  <c r="E42" i="2"/>
  <c r="E48" i="2"/>
  <c r="E43" i="2"/>
  <c r="E36" i="2"/>
  <c r="E28" i="2"/>
  <c r="E30" i="2"/>
  <c r="G10" i="9" l="1"/>
  <c r="G37" i="5" l="1"/>
  <c r="E26" i="4" l="1"/>
  <c r="G27" i="6"/>
  <c r="E19" i="6" l="1"/>
  <c r="E16" i="6"/>
  <c r="E23" i="2" l="1"/>
  <c r="E22" i="2"/>
  <c r="G24" i="2" l="1"/>
  <c r="E14" i="7" l="1"/>
  <c r="E13" i="7"/>
  <c r="E12" i="7"/>
  <c r="E40" i="2" l="1"/>
  <c r="E39" i="2"/>
  <c r="E43" i="4" s="1"/>
  <c r="E36" i="5"/>
  <c r="E35" i="5"/>
  <c r="E34" i="5"/>
  <c r="G20" i="6" l="1"/>
  <c r="E32" i="5"/>
  <c r="E33" i="4" l="1"/>
  <c r="E15" i="6" l="1"/>
  <c r="G31" i="2" l="1"/>
  <c r="G27" i="5" l="1"/>
  <c r="E42" i="4" l="1"/>
  <c r="E9" i="2" l="1"/>
  <c r="G18" i="4" l="1"/>
  <c r="G29" i="6" l="1"/>
  <c r="G55" i="2" l="1"/>
  <c r="G16" i="7" l="1"/>
  <c r="G8" i="9" l="1"/>
  <c r="G9" i="9"/>
  <c r="G20" i="7"/>
  <c r="G21" i="7"/>
  <c r="G22" i="7"/>
  <c r="G23" i="7"/>
  <c r="G24" i="7"/>
  <c r="G15" i="7"/>
  <c r="G8" i="7"/>
  <c r="G9" i="7"/>
  <c r="G10" i="7"/>
  <c r="G11" i="7"/>
  <c r="G42" i="4"/>
  <c r="G43" i="4"/>
  <c r="G44" i="4"/>
  <c r="G45" i="4"/>
  <c r="G46" i="4"/>
  <c r="G33" i="6"/>
  <c r="G24" i="6"/>
  <c r="G25" i="6"/>
  <c r="G26" i="6"/>
  <c r="G28" i="6"/>
  <c r="G13" i="6"/>
  <c r="G14" i="6"/>
  <c r="G15" i="6"/>
  <c r="G16" i="6"/>
  <c r="G17" i="6"/>
  <c r="G18" i="6"/>
  <c r="G19" i="6"/>
  <c r="G8" i="6"/>
  <c r="G9" i="6"/>
  <c r="G52" i="5"/>
  <c r="G48" i="5"/>
  <c r="G43" i="5"/>
  <c r="G44" i="5"/>
  <c r="G31" i="5"/>
  <c r="G32" i="5"/>
  <c r="G33" i="5"/>
  <c r="G25" i="5"/>
  <c r="G26" i="5"/>
  <c r="G21" i="5"/>
  <c r="G15" i="5"/>
  <c r="G16" i="5"/>
  <c r="G9" i="5"/>
  <c r="G10" i="5"/>
  <c r="G11" i="5"/>
  <c r="G38" i="4"/>
  <c r="G32" i="4"/>
  <c r="G33" i="4"/>
  <c r="G34" i="4"/>
  <c r="G26" i="4"/>
  <c r="G27" i="4"/>
  <c r="G28" i="4"/>
  <c r="G22" i="4"/>
  <c r="G17" i="4"/>
  <c r="G16" i="4"/>
  <c r="G8" i="4"/>
  <c r="G9" i="4"/>
  <c r="G10" i="4"/>
  <c r="G11" i="4"/>
  <c r="G12" i="4"/>
  <c r="G54" i="2"/>
  <c r="G48" i="2"/>
  <c r="G49" i="2"/>
  <c r="G37" i="2"/>
  <c r="G38" i="2"/>
  <c r="G39" i="2"/>
  <c r="G40" i="2"/>
  <c r="G41" i="2"/>
  <c r="G42" i="2"/>
  <c r="G43" i="2"/>
  <c r="G44" i="2"/>
  <c r="G36" i="2"/>
  <c r="G29" i="2"/>
  <c r="G30" i="2"/>
  <c r="G32" i="2"/>
  <c r="G28" i="2"/>
  <c r="G17" i="2"/>
  <c r="G18" i="2"/>
  <c r="G19" i="2"/>
  <c r="G20" i="2"/>
  <c r="G21" i="2"/>
  <c r="G22" i="2"/>
  <c r="G23" i="2"/>
  <c r="G16" i="2"/>
  <c r="G8" i="2"/>
  <c r="G9" i="2"/>
  <c r="G10" i="2"/>
  <c r="G11" i="2"/>
  <c r="E7" i="9"/>
  <c r="E6" i="9"/>
  <c r="E5" i="9"/>
  <c r="E19" i="7"/>
  <c r="E18" i="7"/>
  <c r="E17" i="7"/>
  <c r="E7" i="7"/>
  <c r="E6" i="7"/>
  <c r="E5" i="7"/>
  <c r="E32" i="6"/>
  <c r="E31" i="6"/>
  <c r="E30" i="6"/>
  <c r="E51" i="5"/>
  <c r="E50" i="5"/>
  <c r="E49" i="5"/>
  <c r="E47" i="5"/>
  <c r="E46" i="5"/>
  <c r="E45" i="5"/>
  <c r="E42" i="5"/>
  <c r="E41" i="5"/>
  <c r="E40" i="5"/>
  <c r="E20" i="5"/>
  <c r="E19" i="5"/>
  <c r="E14" i="5"/>
  <c r="E13" i="5"/>
  <c r="E37" i="4"/>
  <c r="E36" i="4"/>
  <c r="E35" i="4"/>
  <c r="E31" i="4"/>
  <c r="E30" i="4"/>
  <c r="E29" i="4"/>
  <c r="E53" i="2"/>
  <c r="E52" i="2"/>
  <c r="E47" i="2"/>
  <c r="E45" i="2"/>
  <c r="E46" i="2"/>
  <c r="E35" i="2"/>
  <c r="E34" i="2"/>
  <c r="E33" i="2"/>
  <c r="E25" i="2"/>
  <c r="E26" i="2"/>
  <c r="E27" i="2"/>
  <c r="E15" i="2"/>
  <c r="E14" i="2"/>
  <c r="E7" i="2"/>
  <c r="E6" i="2"/>
  <c r="E5" i="2"/>
  <c r="E12" i="2" l="1"/>
  <c r="E13" i="2"/>
  <c r="F35" i="6" l="1"/>
  <c r="F48" i="4"/>
  <c r="H16" i="1" s="1"/>
  <c r="F26" i="7" l="1"/>
  <c r="H22" i="1" s="1"/>
  <c r="F54" i="5"/>
  <c r="H18" i="1" s="1"/>
  <c r="F57" i="2"/>
  <c r="H14" i="1" s="1"/>
  <c r="H20" i="1"/>
  <c r="F12" i="9" l="1"/>
  <c r="H26" i="1" s="1"/>
  <c r="H28" i="1" s="1"/>
  <c r="H31" i="1" s="1"/>
  <c r="H33" i="1" l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12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8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<sst xmlns="http://schemas.openxmlformats.org/spreadsheetml/2006/main" count="495" uniqueCount="337">
  <si>
    <t>1.   PREDDELA</t>
  </si>
  <si>
    <t>km</t>
  </si>
  <si>
    <t>11 121</t>
  </si>
  <si>
    <t>11 131</t>
  </si>
  <si>
    <t>kos</t>
  </si>
  <si>
    <t>11 221</t>
  </si>
  <si>
    <t>11 631</t>
  </si>
  <si>
    <t>ura</t>
  </si>
  <si>
    <t>12 111</t>
  </si>
  <si>
    <t>m2</t>
  </si>
  <si>
    <t>12 112</t>
  </si>
  <si>
    <t>12 121</t>
  </si>
  <si>
    <t>12 122</t>
  </si>
  <si>
    <t>12 151</t>
  </si>
  <si>
    <t>12 152</t>
  </si>
  <si>
    <t>12 163</t>
  </si>
  <si>
    <t>12 166</t>
  </si>
  <si>
    <t>12 181</t>
  </si>
  <si>
    <t>12 211</t>
  </si>
  <si>
    <t>12 221</t>
  </si>
  <si>
    <t>m1</t>
  </si>
  <si>
    <t>kg</t>
  </si>
  <si>
    <t>12 294</t>
  </si>
  <si>
    <t>m3</t>
  </si>
  <si>
    <t>12 297</t>
  </si>
  <si>
    <t>12 311</t>
  </si>
  <si>
    <t>12 321</t>
  </si>
  <si>
    <t>12 323</t>
  </si>
  <si>
    <t>12 371</t>
  </si>
  <si>
    <t>12 373</t>
  </si>
  <si>
    <t>12 381</t>
  </si>
  <si>
    <t>12 383</t>
  </si>
  <si>
    <t>12 391</t>
  </si>
  <si>
    <t>12 393</t>
  </si>
  <si>
    <t>12 426</t>
  </si>
  <si>
    <t>12 431</t>
  </si>
  <si>
    <t>dan</t>
  </si>
  <si>
    <t>13 113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</si>
  <si>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</si>
  <si>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</si>
  <si>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</si>
  <si>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</si>
  <si>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</si>
  <si>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</si>
  <si>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</si>
  <si>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</si>
  <si>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</si>
  <si>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</si>
  <si>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</si>
  <si>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</si>
  <si>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</si>
  <si>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</si>
  <si>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</si>
  <si>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</si>
  <si>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</si>
  <si>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</si>
  <si>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</si>
  <si>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redko porasli površini (do 50 % pokritega tlorisa) - ročno
</t>
  </si>
  <si>
    <t xml:space="preserve">Odstranitev grmovja na redko porasli površini (do 50 % pokritega tlorisa) - strojno
</t>
  </si>
  <si>
    <t xml:space="preserve">Odstranitev grmovja na gosto porasli površini (nad 50 % pokritega tlorisa) - ročno
</t>
  </si>
  <si>
    <t xml:space="preserve">Odstranitev grmovja na gosto porasli površini (nad 50 % pokritega tlorisa) - strojno
</t>
  </si>
  <si>
    <t xml:space="preserve">Posek in odstranitev drevesa z deblom premera 11 do 30 cm ter odstranitev vej
</t>
  </si>
  <si>
    <t xml:space="preserve">Posek in odstranitev drevesa z deblom premera 31 do 50 cm ter odstranitev vej
</t>
  </si>
  <si>
    <t xml:space="preserve">Odstranitev panja s premerom 31 do 50 cm z odvozom na deponijo na razdaljo nad 1000 m
</t>
  </si>
  <si>
    <t xml:space="preserve">Porušitev in odstranitev makadamskega vozišča v debelini do 20 cm
</t>
  </si>
  <si>
    <t xml:space="preserve">Rezkanje in odvoz asfaltne krovne plasti v debelini 8 do 10 cm 
</t>
  </si>
  <si>
    <t xml:space="preserve">Rezanje asfaltne plasti s talno diamantno žago, debele do 5 cm
</t>
  </si>
  <si>
    <t xml:space="preserve">Porušitev in odstranitev robnika iz cementnega betona
</t>
  </si>
  <si>
    <t xml:space="preserve">Porušitev in odstranitev kanalizacije iz obbetoniranih cevi s premerom do 40 cm
</t>
  </si>
  <si>
    <t xml:space="preserve">Porušitev in odstranitev jaška z notranjo stranico/premerom do 60 cm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</si>
  <si>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</si>
  <si>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</si>
  <si>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</si>
  <si>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</si>
  <si>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</si>
  <si>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</si>
  <si>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</si>
  <si>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21 334</t>
  </si>
  <si>
    <t>22 111</t>
  </si>
  <si>
    <t>22 112</t>
  </si>
  <si>
    <t>23 313</t>
  </si>
  <si>
    <t>24 112</t>
  </si>
  <si>
    <t>24 421</t>
  </si>
  <si>
    <t>24 441</t>
  </si>
  <si>
    <t>25 112</t>
  </si>
  <si>
    <t>25 151</t>
  </si>
  <si>
    <t>25 211</t>
  </si>
  <si>
    <t>26 116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</si>
  <si>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</si>
  <si>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</si>
  <si>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</si>
  <si>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</si>
  <si>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</si>
  <si>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</si>
  <si>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</si>
  <si>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</si>
  <si>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</si>
  <si>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</si>
  <si>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Izkop vezljive zemljine/zrnate kamnine – 3. kategorije za temelje, kanalske rove, prepuste, jaške in drenaže, širine do 1,0 m in globine 2,1 do 4,0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</si>
  <si>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</si>
  <si>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nad 14 do 16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</si>
  <si>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</si>
  <si>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</si>
  <si>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</si>
  <si>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</si>
  <si>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2.6  Armiranje zemljin</t>
  </si>
  <si>
    <t>2.9  Prevozi, razprostiranje in ureditev deponij materiala</t>
  </si>
  <si>
    <t>3.   VOZIŠČNE KONSTRUKCIJE</t>
  </si>
  <si>
    <t>3.1.1 Nevezane nosilne plasti</t>
  </si>
  <si>
    <t>4.   ODVODNJAVANJE</t>
  </si>
  <si>
    <t>4.2  Globinsko odvodnjavanje - drenaže</t>
  </si>
  <si>
    <t>42 134</t>
  </si>
  <si>
    <t>42 311</t>
  </si>
  <si>
    <t>4.3  Globinsko odvodnjavanje - kanalizacija</t>
  </si>
  <si>
    <t>43 232</t>
  </si>
  <si>
    <t>43 233</t>
  </si>
  <si>
    <t>43 272</t>
  </si>
  <si>
    <t>43 273</t>
  </si>
  <si>
    <t>43 831</t>
  </si>
  <si>
    <t>43 832</t>
  </si>
  <si>
    <t>43 841</t>
  </si>
  <si>
    <t>4.4  Jaški</t>
  </si>
  <si>
    <t>44 333</t>
  </si>
  <si>
    <t>44 972</t>
  </si>
  <si>
    <t>44 973</t>
  </si>
  <si>
    <t>44 977</t>
  </si>
  <si>
    <t>44 992</t>
  </si>
  <si>
    <t>4.6  Izviri, vodnjaki, ponikovalnice, vrtače</t>
  </si>
  <si>
    <t>46 371</t>
  </si>
  <si>
    <t xml:space="preserve">Zasip cevne drenaže z zmesjo kamnitih zrn, obvito z geosintetikom, z 0,1 do 0,2 m3/m1, po načrtu
</t>
  </si>
  <si>
    <t>5.   GRADBENA IN OBRTNIŠKA DELA</t>
  </si>
  <si>
    <t>5.1  Tesarska dela</t>
  </si>
  <si>
    <t>51 211</t>
  </si>
  <si>
    <t>51 212</t>
  </si>
  <si>
    <t>51 331</t>
  </si>
  <si>
    <t>51 341</t>
  </si>
  <si>
    <t>5.2  Dela z jeklom za ojačitev</t>
  </si>
  <si>
    <t>52 221</t>
  </si>
  <si>
    <t>5.3  Dela s cementnim betonom</t>
  </si>
  <si>
    <t>53 116</t>
  </si>
  <si>
    <t>53 342</t>
  </si>
  <si>
    <t>53 348</t>
  </si>
  <si>
    <t>53 858</t>
  </si>
  <si>
    <t>53 859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</si>
  <si>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</si>
  <si>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</si>
  <si>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</si>
  <si>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</si>
  <si>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</si>
  <si>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</si>
  <si>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</si>
  <si>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61 112</t>
  </si>
  <si>
    <t>61 217</t>
  </si>
  <si>
    <t>61 218</t>
  </si>
  <si>
    <t>61 421</t>
  </si>
  <si>
    <t>61 612</t>
  </si>
  <si>
    <t>61 622</t>
  </si>
  <si>
    <t>61 712</t>
  </si>
  <si>
    <t>61 713</t>
  </si>
  <si>
    <t>6.2  Označbe na voziščih</t>
  </si>
  <si>
    <t>62 111</t>
  </si>
  <si>
    <t>62 112</t>
  </si>
  <si>
    <t>62 252</t>
  </si>
  <si>
    <t>62 412</t>
  </si>
  <si>
    <t>62 414</t>
  </si>
  <si>
    <t>62 425</t>
  </si>
  <si>
    <t>62 426</t>
  </si>
  <si>
    <t>62 428</t>
  </si>
  <si>
    <t>62 445</t>
  </si>
  <si>
    <t>62 625</t>
  </si>
  <si>
    <t>62 731</t>
  </si>
  <si>
    <t>62 732</t>
  </si>
  <si>
    <t>6.4  Oprema za zavarovanje prometa</t>
  </si>
  <si>
    <t>SKUPAJ TUJE STORITVE:</t>
  </si>
  <si>
    <t>7.   TUJE STORITVE</t>
  </si>
  <si>
    <t>7.9  Preizkusi, nadzor in tehnična dokumentacija</t>
  </si>
  <si>
    <t>79 311</t>
  </si>
  <si>
    <t>ur</t>
  </si>
  <si>
    <t>79 351</t>
  </si>
  <si>
    <t>31 131</t>
  </si>
  <si>
    <t>31 132</t>
  </si>
  <si>
    <t>31 181</t>
  </si>
  <si>
    <t>3.1.4-6 Asfaltne nosilne plasti - Asphalt concrete - base (AC base)</t>
  </si>
  <si>
    <t>31 552</t>
  </si>
  <si>
    <t>31 646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</si>
  <si>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</si>
  <si>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</si>
  <si>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</si>
  <si>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</si>
  <si>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</si>
  <si>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</si>
  <si>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</si>
  <si>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</si>
  <si>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</si>
  <si>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</si>
  <si>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</si>
  <si>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</si>
  <si>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</si>
  <si>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3.5.3 Obrobe</t>
  </si>
  <si>
    <t>35 214</t>
  </si>
  <si>
    <t>35 235</t>
  </si>
  <si>
    <t>35 314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</si>
  <si>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</si>
  <si>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</si>
  <si>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</si>
  <si>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</si>
  <si>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</si>
  <si>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</si>
  <si>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</si>
  <si>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</si>
  <si>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</si>
  <si>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</si>
  <si>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</si>
  <si>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</si>
  <si>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</si>
  <si>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</si>
  <si>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Izdelava bankine iz gramoza ali naravno zdrobljenega kamnitega materiala, široke do 0,50 m
</t>
  </si>
  <si>
    <t>52 ___</t>
  </si>
  <si>
    <t>13 142</t>
  </si>
  <si>
    <t xml:space="preserve">Izdelava elaborata začasne prometne ureditve
</t>
  </si>
  <si>
    <t>22 % DDV</t>
  </si>
  <si>
    <t>22 117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</si>
  <si>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</si>
  <si>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</si>
  <si>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</si>
  <si>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</si>
  <si>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</si>
  <si>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</si>
  <si>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</si>
  <si>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</si>
  <si>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Rezkanje in odvoz asfaltne krovne plasti v debelini do 3 cm 
</t>
  </si>
  <si>
    <t xml:space="preserve">Čiščenje utrjene/odrezkane površine/podlage pred pobrizgom z bitumenskim vezivom
</t>
  </si>
  <si>
    <t>43 851</t>
  </si>
  <si>
    <t>44 996</t>
  </si>
  <si>
    <t xml:space="preserve">Doplačilo za zatravitev s semenom
</t>
  </si>
  <si>
    <t xml:space="preserve">Prevoz materiala na razdaljo nad 10 do 15 km
</t>
  </si>
  <si>
    <t xml:space="preserve">Zaščita stikov s "teksabit trakom"
</t>
  </si>
  <si>
    <t>Zavarovanje gradbišča v času gradnje s popolno zaporo prometa</t>
  </si>
  <si>
    <t xml:space="preserve">Ureditev planuma posteljice
</t>
  </si>
  <si>
    <t xml:space="preserve">Projektantski nadzor
</t>
  </si>
  <si>
    <t xml:space="preserve">Geotehnični nadzor
</t>
  </si>
  <si>
    <t>61 181</t>
  </si>
  <si>
    <t xml:space="preserve">Odstranitev vej predhodno posekanih dreves
</t>
  </si>
  <si>
    <t xml:space="preserve">Porušitev in odstranitev obrobe iz granitnih kock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</si>
  <si>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</si>
  <si>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</si>
  <si>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</si>
  <si>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t xml:space="preserve">Porušitev in odstranitev žive meje
</t>
  </si>
  <si>
    <t xml:space="preserve">Porušitev in odstranitev ograje iz cementnega betona
</t>
  </si>
  <si>
    <r>
      <t xml:space="preserve">Izdelava obrobe iz deponiranih malih tlakovcev iz naravnega kamna velikosti 10 cm/ 10 cm/ 10 cm ( </t>
    </r>
    <r>
      <rPr>
        <i/>
        <sz val="10"/>
        <color theme="1"/>
        <rFont val="Arial Narrow"/>
        <family val="2"/>
        <charset val="238"/>
      </rPr>
      <t>granitne kocke</t>
    </r>
    <r>
      <rPr>
        <sz val="10"/>
        <color theme="1"/>
        <rFont val="Arial Narrow"/>
        <family val="2"/>
        <charset val="238"/>
      </rPr>
      <t xml:space="preserve"> )
</t>
    </r>
  </si>
  <si>
    <t>32 ___</t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</si>
  <si>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</si>
  <si>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nad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</si>
  <si>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 xml:space="preserve">Odstranitev panja s premerom 11 do 30 cm z odvozom na deponijo na razdaljo nad 100 m
</t>
  </si>
  <si>
    <r>
      <t xml:space="preserve">Izdelava nevezane nosilne plasti enakomerno zrnatega drobljenca iz kamnine v debelini do 20 cm 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</si>
  <si>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</si>
  <si>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4000 mm</t>
    </r>
    <r>
      <rPr>
        <sz val="10"/>
        <color theme="1"/>
        <rFont val="Arial Narrow"/>
        <family val="2"/>
        <charset val="238"/>
      </rPr>
      <t xml:space="preserve">
</t>
    </r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</si>
  <si>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</si>
  <si>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i/>
        <sz val="10"/>
        <color theme="1"/>
        <rFont val="Arial Narrow"/>
        <family val="2"/>
        <charset val="238"/>
      </rPr>
      <t>Izdelava temelja</t>
    </r>
    <r>
      <rPr>
        <sz val="10"/>
        <color theme="1"/>
        <rFont val="Arial Narrow"/>
        <family val="2"/>
        <charset val="238"/>
      </rPr>
      <t xml:space="preserve"> iz cementnega betona C 12/15, globine 50 cm, premera 30 cm
</t>
    </r>
  </si>
  <si>
    <r>
      <t xml:space="preserve">kos
</t>
    </r>
    <r>
      <rPr>
        <sz val="9"/>
        <color theme="1"/>
        <rFont val="Arial Narrow"/>
        <family val="2"/>
        <charset val="238"/>
      </rPr>
      <t>(ocena)</t>
    </r>
  </si>
  <si>
    <t>64 012</t>
  </si>
  <si>
    <r>
      <t xml:space="preserve">Dobava in vgraditev </t>
    </r>
    <r>
      <rPr>
        <b/>
        <sz val="10"/>
        <color theme="1"/>
        <rFont val="Arial Narrow"/>
        <family val="2"/>
        <charset val="238"/>
      </rPr>
      <t>pokrova iz duktilne litine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krožnega prereza s </t>
    </r>
    <r>
      <rPr>
        <b/>
        <sz val="10"/>
        <color theme="1"/>
        <rFont val="Arial Narrow"/>
        <family val="2"/>
        <charset val="238"/>
      </rPr>
      <t xml:space="preserve">premerom 600 mm 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>revizijski jašek ali ponikovalnica-v vozišču 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</si>
  <si>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robniške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ob vozišču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</si>
  <si>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ukrivljene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>, s prerezom</t>
    </r>
    <r>
      <rPr>
        <b/>
        <i/>
        <sz val="10"/>
        <color theme="1"/>
        <rFont val="Arial Narrow"/>
        <family val="2"/>
        <charset val="238"/>
      </rPr>
      <t xml:space="preserve"> 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v muldi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</si>
  <si>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čepaste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prehodi za pešce )</t>
    </r>
    <r>
      <rPr>
        <sz val="10"/>
        <color theme="1"/>
        <rFont val="Arial Narrow"/>
        <family val="2"/>
        <charset val="238"/>
      </rPr>
      <t xml:space="preserve">
</t>
    </r>
  </si>
  <si>
    <t>34 921</t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</si>
  <si>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STOP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2102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</si>
  <si>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</si>
  <si>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r>
      <t>Nabava, dobava in vgradnja (zabitje)</t>
    </r>
    <r>
      <rPr>
        <b/>
        <i/>
        <sz val="10"/>
        <color theme="1"/>
        <rFont val="Arial Narrow"/>
        <family val="2"/>
        <charset val="238"/>
      </rPr>
      <t xml:space="preserve"> koreninskega količka </t>
    </r>
    <r>
      <rPr>
        <sz val="10"/>
        <color theme="1"/>
        <rFont val="Arial Narrow"/>
        <family val="2"/>
        <charset val="238"/>
      </rPr>
      <t>za pritrditev stebrička za prometni znak skupaj z vsem montažnim materialom (</t>
    </r>
    <r>
      <rPr>
        <i/>
        <sz val="10"/>
        <color theme="1"/>
        <rFont val="Arial Narrow"/>
        <family val="2"/>
        <charset val="238"/>
      </rPr>
      <t>kot npr. Meblo MS10043</t>
    </r>
    <r>
      <rPr>
        <sz val="10"/>
        <color theme="1"/>
        <rFont val="Arial Narrow"/>
        <family val="2"/>
        <charset val="238"/>
      </rPr>
      <t xml:space="preserve">)
</t>
    </r>
  </si>
  <si>
    <t xml:space="preserve">Prevoz in odlaganje odpadne zmesi zemljine in kamnine ali asfaltnega rezkanca/drobljenca na deponijo izvajalca v neposredni bližini gradbišča do ponovne vgradnje
</t>
  </si>
  <si>
    <r>
      <t xml:space="preserve">Izdelava </t>
    </r>
    <r>
      <rPr>
        <b/>
        <sz val="10"/>
        <color theme="1"/>
        <rFont val="Arial Narrow"/>
        <family val="2"/>
        <charset val="238"/>
      </rPr>
      <t>vzdolžne in prečne drenaže</t>
    </r>
    <r>
      <rPr>
        <sz val="10"/>
        <color theme="1"/>
        <rFont val="Arial Narrow"/>
        <family val="2"/>
        <charset val="238"/>
      </rPr>
      <t xml:space="preserve">, globoke </t>
    </r>
    <r>
      <rPr>
        <b/>
        <sz val="10"/>
        <color theme="1"/>
        <rFont val="Arial Narrow"/>
        <family val="2"/>
        <charset val="238"/>
      </rPr>
      <t>do 1,0 m</t>
    </r>
    <r>
      <rPr>
        <sz val="10"/>
        <color theme="1"/>
        <rFont val="Arial Narrow"/>
        <family val="2"/>
        <charset val="238"/>
      </rPr>
      <t xml:space="preserve">, na podložni plasti iz cementnega betona, debeline 10 cm, z </t>
    </r>
    <r>
      <rPr>
        <b/>
        <sz val="10"/>
        <color theme="1"/>
        <rFont val="Arial Narrow"/>
        <family val="2"/>
        <charset val="238"/>
      </rPr>
      <t>gibljivimi plastičnimi cevmi</t>
    </r>
    <r>
      <rPr>
        <sz val="10"/>
        <color theme="1"/>
        <rFont val="Arial Narrow"/>
        <family val="2"/>
        <charset val="238"/>
      </rPr>
      <t xml:space="preserve"> premera </t>
    </r>
    <r>
      <rPr>
        <b/>
        <sz val="10"/>
        <color theme="1"/>
        <rFont val="Arial Narrow"/>
        <family val="2"/>
        <charset val="238"/>
      </rPr>
      <t>DN160 mm</t>
    </r>
    <r>
      <rPr>
        <sz val="10"/>
        <color theme="1"/>
        <rFont val="Arial Narrow"/>
        <family val="2"/>
        <charset val="238"/>
      </rPr>
      <t xml:space="preserve">
</t>
    </r>
  </si>
  <si>
    <t>79 516</t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</si>
  <si>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</si>
  <si>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</si>
  <si>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Preskus tesnosti cevi premera od </t>
    </r>
    <r>
      <rPr>
        <b/>
        <sz val="10"/>
        <color theme="1"/>
        <rFont val="Arial Narrow"/>
        <family val="2"/>
        <charset val="238"/>
      </rPr>
      <t>DN250</t>
    </r>
    <r>
      <rPr>
        <sz val="10"/>
        <color theme="1"/>
        <rFont val="Arial Narrow"/>
        <family val="2"/>
        <charset val="238"/>
      </rPr>
      <t xml:space="preserve"> do </t>
    </r>
    <r>
      <rPr>
        <b/>
        <sz val="10"/>
        <color theme="1"/>
        <rFont val="Arial Narrow"/>
        <family val="2"/>
        <charset val="238"/>
      </rPr>
      <t xml:space="preserve">DN500 </t>
    </r>
    <r>
      <rPr>
        <sz val="10"/>
        <color theme="1"/>
        <rFont val="Arial Narrow"/>
        <family val="2"/>
        <charset val="238"/>
      </rPr>
      <t xml:space="preserve">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</si>
  <si>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</si>
  <si>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t>2181-23</t>
  </si>
  <si>
    <r>
      <t>Ureditev ceste, parkirišč in pločnika ob "</t>
    </r>
    <r>
      <rPr>
        <b/>
        <sz val="12"/>
        <color theme="1"/>
        <rFont val="Arial Narrow"/>
        <family val="2"/>
        <charset val="238"/>
      </rPr>
      <t>Papirniški poti, LK-215083</t>
    </r>
    <r>
      <rPr>
        <sz val="12"/>
        <color theme="1"/>
        <rFont val="Arial Narrow"/>
        <family val="2"/>
        <charset val="238"/>
      </rPr>
      <t>"</t>
    </r>
    <r>
      <rPr>
        <b/>
        <sz val="12"/>
        <color theme="1"/>
        <rFont val="Arial Narrow"/>
        <family val="2"/>
        <charset val="238"/>
      </rPr>
      <t xml:space="preserve">
</t>
    </r>
  </si>
  <si>
    <t>Papirniška pot, LK-215083</t>
  </si>
  <si>
    <r>
      <t xml:space="preserve">m3
</t>
    </r>
    <r>
      <rPr>
        <sz val="9"/>
        <color theme="1"/>
        <rFont val="Arial Narrow"/>
        <family val="2"/>
        <charset val="238"/>
      </rPr>
      <t>(ocena)</t>
    </r>
  </si>
  <si>
    <t xml:space="preserve">Demontaža prometnega znaka na enem podstavku
</t>
  </si>
  <si>
    <t xml:space="preserve">Demontaža obvestilne table s površino do 1 m2
</t>
  </si>
  <si>
    <t>Rezanje asfaltne plasti s talno diamantno žago, debele 11 do 15 cm</t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</si>
  <si>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>AC 32 base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12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vozišče, kolesarski pasovi na vozišču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</si>
  <si>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 parkirišče, varovalni pas parkirišča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</si>
  <si>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 xml:space="preserve">*TOPLI ASFALT 
*Vgradi se lahko do 15% rezkanca pridobljenega iz odpadnega asfalta (Uredba o zelenem javnem naročanju)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</si>
  <si>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vozišče, kolesarski pasovi na vozišču, parkirišče in varovalni pas ob parkirišču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</si>
  <si>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Doplačilo za izdelavo mulde v širini 50cm in minimalni globini 5 cm 
( </t>
    </r>
    <r>
      <rPr>
        <i/>
        <sz val="10"/>
        <color theme="1"/>
        <rFont val="Arial Narrow"/>
        <family val="2"/>
        <charset val="238"/>
      </rPr>
      <t xml:space="preserve">asfalt upoštevan v zgornji postavki </t>
    </r>
    <r>
      <rPr>
        <sz val="10"/>
        <color theme="1"/>
        <rFont val="Arial Narrow"/>
        <family val="2"/>
        <charset val="238"/>
      </rPr>
      <t>)</t>
    </r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</si>
  <si>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v makadamu)</t>
    </r>
  </si>
  <si>
    <r>
      <t xml:space="preserve">Izdelava nevezane nosilne plasti enakomerno zrnatega drobljenca iz kamnine v debelini do 30 cm  ( </t>
    </r>
    <r>
      <rPr>
        <i/>
        <sz val="10"/>
        <rFont val="Arial Narrow"/>
        <family val="2"/>
        <charset val="238"/>
      </rPr>
      <t>vozišče, kolesarski pasovi, parkirišče in varovalni pas ob parkirišču</t>
    </r>
    <r>
      <rPr>
        <sz val="10"/>
        <rFont val="Arial Narrow"/>
        <family val="2"/>
        <charset val="238"/>
      </rPr>
      <t xml:space="preserve"> )
</t>
    </r>
  </si>
  <si>
    <r>
      <t>Ureditev planuma temeljnih tal za izvedbo podložnega betona betonskega parapetnega zidu (</t>
    </r>
    <r>
      <rPr>
        <i/>
        <sz val="10"/>
        <color theme="1"/>
        <rFont val="Arial Narrow"/>
        <family val="2"/>
        <charset val="238"/>
      </rPr>
      <t>AB parapetni zid, med P10 in P13</t>
    </r>
    <r>
      <rPr>
        <sz val="10"/>
        <color theme="1"/>
        <rFont val="Arial Narrow"/>
        <family val="2"/>
        <charset val="238"/>
      </rPr>
      <t>)</t>
    </r>
  </si>
  <si>
    <t>Široki izkop vezljive zemljine – 3. kategorije – strojno z nakladanjem</t>
  </si>
  <si>
    <r>
      <t xml:space="preserve">Izdelava posteljice v debelini plasti do 30 cm iz zrnate kamnine – 3. kategorije  ( </t>
    </r>
    <r>
      <rPr>
        <i/>
        <sz val="10"/>
        <color theme="1"/>
        <rFont val="Arial Narrow"/>
        <family val="2"/>
        <charset val="238"/>
      </rPr>
      <t xml:space="preserve">pločnik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</si>
  <si>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posteljice v debelini plasti do 40 cm iz zrnate kamnine – 3. kategorije  ( </t>
    </r>
    <r>
      <rPr>
        <i/>
        <sz val="10"/>
        <color theme="1"/>
        <rFont val="Arial Narrow"/>
        <family val="2"/>
        <charset val="238"/>
      </rPr>
      <t>vozišče, kolesarski pasovi ob vozišču, parkirišče in varovalni pas ob parkirišču</t>
    </r>
    <r>
      <rPr>
        <sz val="10"/>
        <color theme="1"/>
        <rFont val="Arial Narrow"/>
        <family val="2"/>
        <charset val="238"/>
      </rPr>
      <t xml:space="preserve"> )
</t>
    </r>
  </si>
  <si>
    <t xml:space="preserve">Humuziranje brežine in zelenice brez valjanja, v debelini do 20 cm - strojno
</t>
  </si>
  <si>
    <r>
      <t>Izdelava kanalizacije iz cevi iz polivinilklorida, vključno s podložno plastjo iz</t>
    </r>
    <r>
      <rPr>
        <b/>
        <sz val="10"/>
        <color theme="1"/>
        <rFont val="Arial Narrow"/>
        <family val="2"/>
        <charset val="238"/>
      </rPr>
      <t xml:space="preserve"> 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DN250</t>
    </r>
    <r>
      <rPr>
        <sz val="10"/>
        <color theme="1"/>
        <rFont val="Arial Narrow"/>
        <family val="2"/>
        <charset val="238"/>
      </rPr>
      <t xml:space="preserve"> mm, 
v globini do 1,0 m  ( </t>
    </r>
    <r>
      <rPr>
        <i/>
        <sz val="10"/>
        <color theme="1"/>
        <rFont val="Arial Narrow"/>
        <family val="2"/>
        <charset val="238"/>
      </rPr>
      <t>Izdelava navezave vtočnih jaškov-pod voziščem v predvidene ponikovalnice</t>
    </r>
    <r>
      <rPr>
        <sz val="10"/>
        <color theme="1"/>
        <rFont val="Arial Narrow"/>
        <family val="2"/>
        <charset val="238"/>
      </rPr>
      <t xml:space="preserve"> )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</si>
  <si>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 Izdelava povezave/navezave vtočnih jaškov-pod voziščem )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</si>
  <si>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 Izdelava povezave/navezave vtočnih jaškov-pod voziščem )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</si>
  <si>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</t>
    </r>
    <r>
      <rPr>
        <b/>
        <sz val="10"/>
        <color theme="1"/>
        <rFont val="Arial Narrow"/>
        <family val="2"/>
        <charset val="238"/>
      </rPr>
      <t>DN250</t>
    </r>
    <r>
      <rPr>
        <sz val="10"/>
        <color theme="1"/>
        <rFont val="Arial Narrow"/>
        <family val="2"/>
        <charset val="238"/>
      </rPr>
      <t xml:space="preserve"> mm  (</t>
    </r>
    <r>
      <rPr>
        <i/>
        <sz val="10"/>
        <color theme="1"/>
        <rFont val="Arial Narrow"/>
        <family val="2"/>
        <charset val="238"/>
      </rPr>
      <t xml:space="preserve"> Izdelava navezave vtočnih jaškov-pod voziščem v predvidene ponikovalnice</t>
    </r>
    <r>
      <rPr>
        <sz val="10"/>
        <color theme="1"/>
        <rFont val="Arial Narrow"/>
        <family val="2"/>
        <charset val="238"/>
      </rPr>
      <t xml:space="preserve"> )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</si>
  <si>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 xml:space="preserve">vtočnega jaška </t>
    </r>
    <r>
      <rPr>
        <sz val="10"/>
        <rFont val="Arial Narrow"/>
        <family val="2"/>
        <charset val="238"/>
      </rPr>
      <t xml:space="preserve">na predvideno </t>
    </r>
    <r>
      <rPr>
        <b/>
        <i/>
        <sz val="10"/>
        <rFont val="Arial Narrow"/>
        <family val="2"/>
        <charset val="238"/>
      </rPr>
      <t>ponikovalnico</t>
    </r>
    <r>
      <rPr>
        <sz val="10"/>
        <rFont val="Arial Narrow"/>
        <family val="2"/>
        <charset val="238"/>
      </rPr>
      <t xml:space="preserve"> ali </t>
    </r>
    <r>
      <rPr>
        <b/>
        <i/>
        <sz val="10"/>
        <rFont val="Arial Narrow"/>
        <family val="2"/>
        <charset val="238"/>
      </rPr>
      <t>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</si>
  <si>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>, vključno z vrtanjem odprtin in izdelavo AB venca
*</t>
    </r>
    <r>
      <rPr>
        <i/>
        <sz val="10"/>
        <rFont val="Arial Narrow"/>
        <family val="2"/>
        <charset val="238"/>
      </rPr>
      <t>vtočni jaški s peskolovi</t>
    </r>
    <r>
      <rPr>
        <sz val="10"/>
        <rFont val="Arial Narrow"/>
        <family val="2"/>
        <charset val="238"/>
      </rPr>
      <t xml:space="preserve">
</t>
    </r>
  </si>
  <si>
    <t>Ureditev ponikovalnice s perforirano cevjo iz cementnega betona, krožnega prereza, s premerom 120 cm, globine 2,1 do 4,0 m</t>
  </si>
  <si>
    <t>Višinsko prilagajanje kap obstoječe komunalne infrastrukture</t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</si>
  <si>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ponikovalnic, revizijskih in vtočnih jaškov ter vgrajenih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</si>
  <si>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postavitev rebrastih žic iz visokovrednega naravno trdega jekla B St 500 S s premerom do 12 mm, za enostavno ojačitev ( </t>
    </r>
    <r>
      <rPr>
        <i/>
        <sz val="10"/>
        <color theme="1"/>
        <rFont val="Arial Narrow"/>
        <family val="2"/>
        <charset val="238"/>
      </rPr>
      <t>AB parapetni zid, med P10 in P13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</si>
  <si>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armaturne mreže Q335
( </t>
    </r>
    <r>
      <rPr>
        <i/>
        <sz val="10"/>
        <color theme="1"/>
        <rFont val="Arial Narrow"/>
        <family val="2"/>
        <charset val="238"/>
      </rPr>
      <t>AB parapetni zid, med P10 in P13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</si>
  <si>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dvostranskega vezanega opaža za raven zid, visok do 2 m ( </t>
    </r>
    <r>
      <rPr>
        <i/>
        <sz val="10"/>
        <color theme="1"/>
        <rFont val="Arial Narrow"/>
        <family val="2"/>
        <charset val="238"/>
      </rPr>
      <t>AB parapetni zid, med P10 in P13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</si>
  <si>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dvostranskega vezanega opaža za ukrivljen zid, visok do 2 m ( </t>
    </r>
    <r>
      <rPr>
        <i/>
        <sz val="10"/>
        <color theme="1"/>
        <rFont val="Arial Narrow"/>
        <family val="2"/>
        <charset val="238"/>
      </rPr>
      <t>AB parapetni zid, med P10 in P13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</si>
  <si>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podprtega opaža za ukrivljen temelj
( </t>
    </r>
    <r>
      <rPr>
        <i/>
        <sz val="10"/>
        <color theme="1"/>
        <rFont val="Arial Narrow"/>
        <family val="2"/>
        <charset val="238"/>
      </rPr>
      <t>AB parapetni zid, med P10 in P13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</si>
  <si>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podprtega opaža za ravne temelje in nosilno ploščo
( </t>
    </r>
    <r>
      <rPr>
        <i/>
        <sz val="10"/>
        <color theme="1"/>
        <rFont val="Arial Narrow"/>
        <family val="2"/>
        <charset val="238"/>
      </rPr>
      <t>AB parapetni zid, med P10 in P13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</si>
  <si>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podložnega cementnega betona C12/15</t>
    </r>
    <r>
      <rPr>
        <sz val="10"/>
        <color theme="1"/>
        <rFont val="Arial Narrow"/>
        <family val="2"/>
        <charset val="238"/>
      </rPr>
      <t xml:space="preserve"> v prerez </t>
    </r>
    <r>
      <rPr>
        <b/>
        <i/>
        <sz val="10"/>
        <color theme="1"/>
        <rFont val="Arial Narrow"/>
        <family val="2"/>
        <charset val="238"/>
      </rPr>
      <t>do 0,15 m3/m2-m1</t>
    </r>
    <r>
      <rPr>
        <sz val="10"/>
        <color theme="1"/>
        <rFont val="Arial Narrow"/>
        <family val="2"/>
        <charset val="238"/>
      </rPr>
      <t xml:space="preserve">
- Dmax=16/32 mm
( </t>
    </r>
    <r>
      <rPr>
        <i/>
        <sz val="10"/>
        <color theme="1"/>
        <rFont val="Arial Narrow"/>
        <family val="2"/>
        <charset val="238"/>
      </rPr>
      <t xml:space="preserve">AB parapetni zid, med P10 in P13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</si>
  <si>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vgraditev ojačenega </t>
    </r>
    <r>
      <rPr>
        <b/>
        <i/>
        <sz val="10"/>
        <color theme="1"/>
        <rFont val="Arial Narrow"/>
        <family val="2"/>
        <charset val="238"/>
      </rPr>
      <t>cementnega betona C30/37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v temelje</t>
    </r>
    <r>
      <rPr>
        <sz val="10"/>
        <color theme="1"/>
        <rFont val="Arial Narrow"/>
        <family val="2"/>
        <charset val="238"/>
      </rPr>
      <t xml:space="preserve"> opornih ali podpornih </t>
    </r>
    <r>
      <rPr>
        <b/>
        <i/>
        <sz val="10"/>
        <color theme="1"/>
        <rFont val="Arial Narrow"/>
        <family val="2"/>
        <charset val="238"/>
      </rPr>
      <t>AB zidov</t>
    </r>
    <r>
      <rPr>
        <sz val="10"/>
        <color theme="1"/>
        <rFont val="Arial Narrow"/>
        <family val="2"/>
        <charset val="238"/>
      </rPr>
      <t xml:space="preserve">
- vključno z dodatki: PV-I, XC4, XD2, XF3
- Dmax = 16/32 mm
( </t>
    </r>
    <r>
      <rPr>
        <i/>
        <sz val="10"/>
        <color theme="1"/>
        <rFont val="Arial Narrow"/>
        <family val="2"/>
        <charset val="238"/>
      </rPr>
      <t>AB parapetni zid, med P10 in P13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</si>
  <si>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ojačenega </t>
    </r>
    <r>
      <rPr>
        <b/>
        <i/>
        <sz val="10"/>
        <color theme="1"/>
        <rFont val="Arial Narrow"/>
        <family val="2"/>
        <charset val="238"/>
      </rPr>
      <t>cementnega betona C30/37 v stene</t>
    </r>
    <r>
      <rPr>
        <sz val="10"/>
        <color theme="1"/>
        <rFont val="Arial Narrow"/>
        <family val="2"/>
        <charset val="238"/>
      </rPr>
      <t xml:space="preserve"> podpornih ali opornih </t>
    </r>
    <r>
      <rPr>
        <b/>
        <i/>
        <sz val="10"/>
        <color theme="1"/>
        <rFont val="Arial Narrow"/>
        <family val="2"/>
        <charset val="238"/>
      </rPr>
      <t>AB zidov</t>
    </r>
    <r>
      <rPr>
        <sz val="10"/>
        <color theme="1"/>
        <rFont val="Arial Narrow"/>
        <family val="2"/>
        <charset val="238"/>
      </rPr>
      <t xml:space="preserve">
- vključno z dodatki: PV-II, XC4, XD2, XF3
- Dmax = 16/32 mm
( </t>
    </r>
    <r>
      <rPr>
        <i/>
        <sz val="10"/>
        <color theme="1"/>
        <rFont val="Arial Narrow"/>
        <family val="2"/>
        <charset val="238"/>
      </rPr>
      <t>AB parapetni zid, med P10 in P13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</si>
  <si>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pritrditev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belo/rdečo/modro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velikost od 0,21 do 0,40 m2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2421, 2422, 2431</t>
    </r>
    <r>
      <rPr>
        <sz val="10"/>
        <color theme="1"/>
        <rFont val="Arial Narrow"/>
        <family val="2"/>
        <charset val="238"/>
      </rPr>
      <t xml:space="preserve"> )</t>
    </r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</si>
  <si>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okroglega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>belo/rdečo/modro</t>
    </r>
    <r>
      <rPr>
        <sz val="10"/>
        <color theme="1"/>
        <rFont val="Arial Narrow"/>
        <family val="2"/>
        <charset val="238"/>
      </rPr>
      <t xml:space="preserve"> 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premera 600 mm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2232-4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</si>
  <si>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pritrditev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velikost od 0,11 do 0,20 m2</t>
    </r>
    <r>
      <rPr>
        <sz val="10"/>
        <color theme="1"/>
        <rFont val="Arial Narrow"/>
        <family val="2"/>
        <charset val="238"/>
      </rPr>
      <t xml:space="preserve">  ( </t>
    </r>
    <r>
      <rPr>
        <i/>
        <sz val="10"/>
        <color theme="1"/>
        <rFont val="Arial Narrow"/>
        <family val="2"/>
        <charset val="238"/>
      </rPr>
      <t>4503-6, 4702</t>
    </r>
    <r>
      <rPr>
        <sz val="10"/>
        <color theme="1"/>
        <rFont val="Arial Narrow"/>
        <family val="2"/>
        <charset val="238"/>
      </rPr>
      <t xml:space="preserve"> )
</t>
    </r>
  </si>
  <si>
    <r>
      <t>Dobava in pritrditev</t>
    </r>
    <r>
      <rPr>
        <b/>
        <i/>
        <sz val="10"/>
        <color theme="1"/>
        <rFont val="Arial Narrow"/>
        <family val="2"/>
        <charset val="238"/>
      </rPr>
      <t xml:space="preserve"> trikotnega </t>
    </r>
    <r>
      <rPr>
        <sz val="10"/>
        <color theme="1"/>
        <rFont val="Arial Narrow"/>
        <family val="2"/>
        <charset val="238"/>
      </rPr>
      <t xml:space="preserve">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barvo-odsevno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dolžina stranice a = 600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1101</t>
    </r>
    <r>
      <rPr>
        <sz val="10"/>
        <color theme="1"/>
        <rFont val="Arial Narrow"/>
        <family val="2"/>
        <charset val="238"/>
      </rPr>
      <t xml:space="preserve"> )
</t>
    </r>
  </si>
  <si>
    <r>
      <t>Dobava in vgraditev inox stebrička</t>
    </r>
    <r>
      <rPr>
        <sz val="10"/>
        <color theme="1"/>
        <rFont val="Arial Narrow"/>
        <family val="2"/>
        <charset val="238"/>
      </rPr>
      <t xml:space="preserve">
</t>
    </r>
  </si>
  <si>
    <t/>
  </si>
  <si>
    <r>
      <t xml:space="preserve">Dobava in vgradnja </t>
    </r>
    <r>
      <rPr>
        <b/>
        <i/>
        <sz val="10"/>
        <color theme="1"/>
        <rFont val="Arial Narrow"/>
        <family val="2"/>
        <charset val="238"/>
      </rPr>
      <t>protierozijske mreže za armiranje brežine</t>
    </r>
    <r>
      <rPr>
        <sz val="10"/>
        <color theme="1"/>
        <rFont val="Arial Narrow"/>
        <family val="2"/>
        <charset val="238"/>
      </rPr>
      <t xml:space="preserve"> iz </t>
    </r>
    <r>
      <rPr>
        <b/>
        <i/>
        <sz val="10"/>
        <color theme="1"/>
        <rFont val="Arial Narrow"/>
        <family val="2"/>
        <charset val="238"/>
      </rPr>
      <t>kokosa</t>
    </r>
    <r>
      <rPr>
        <sz val="10"/>
        <color theme="1"/>
        <rFont val="Arial Narrow"/>
        <family val="2"/>
        <charset val="238"/>
      </rPr>
      <t xml:space="preserve"> in </t>
    </r>
    <r>
      <rPr>
        <b/>
        <i/>
        <sz val="10"/>
        <color theme="1"/>
        <rFont val="Arial Narrow"/>
        <family val="2"/>
        <charset val="238"/>
      </rPr>
      <t>jute</t>
    </r>
    <r>
      <rPr>
        <sz val="10"/>
        <color theme="1"/>
        <rFont val="Arial Narrow"/>
        <family val="2"/>
        <charset val="238"/>
      </rPr>
      <t xml:space="preserve"> ter dobava in vgradnja </t>
    </r>
    <r>
      <rPr>
        <b/>
        <i/>
        <sz val="10"/>
        <color theme="1"/>
        <rFont val="Arial Narrow"/>
        <family val="2"/>
        <charset val="238"/>
      </rPr>
      <t>kovinskih sider</t>
    </r>
    <r>
      <rPr>
        <sz val="10"/>
        <color theme="1"/>
        <rFont val="Arial Narrow"/>
        <family val="2"/>
        <charset val="238"/>
      </rPr>
      <t xml:space="preserve"> oz. </t>
    </r>
    <r>
      <rPr>
        <b/>
        <i/>
        <sz val="10"/>
        <color theme="1"/>
        <rFont val="Arial Narrow"/>
        <family val="2"/>
        <charset val="238"/>
      </rPr>
      <t>klinov</t>
    </r>
    <r>
      <rPr>
        <sz val="10"/>
        <color theme="1"/>
        <rFont val="Arial Narrow"/>
        <family val="2"/>
        <charset val="238"/>
      </rPr>
      <t xml:space="preserve"> iz rebraste armature, </t>
    </r>
    <r>
      <rPr>
        <i/>
        <sz val="10"/>
        <color theme="1"/>
        <rFont val="Arial Narrow"/>
        <family val="2"/>
        <charset val="238"/>
      </rPr>
      <t xml:space="preserve">dim.: </t>
    </r>
    <r>
      <rPr>
        <b/>
        <i/>
        <sz val="10"/>
        <color theme="1"/>
        <rFont val="Arial Narrow"/>
        <family val="2"/>
        <charset val="238"/>
      </rPr>
      <t>25/5/10 cm</t>
    </r>
    <r>
      <rPr>
        <i/>
        <sz val="10"/>
        <color theme="1"/>
        <rFont val="Arial Narrow"/>
        <family val="2"/>
        <charset val="238"/>
      </rPr>
      <t xml:space="preserve"> - </t>
    </r>
    <r>
      <rPr>
        <b/>
        <i/>
        <sz val="10"/>
        <color theme="1"/>
        <rFont val="Arial Narrow"/>
        <family val="2"/>
        <charset val="238"/>
      </rPr>
      <t>fi 8 mm</t>
    </r>
    <r>
      <rPr>
        <sz val="10"/>
        <color theme="1"/>
        <rFont val="Arial Narrow"/>
        <family val="2"/>
        <charset val="238"/>
      </rPr>
      <t xml:space="preserve"> za pritrjevanje protierozijskih mrež (poraba: </t>
    </r>
    <r>
      <rPr>
        <b/>
        <i/>
        <sz val="10"/>
        <color theme="1"/>
        <rFont val="Arial Narrow"/>
        <family val="2"/>
        <charset val="238"/>
      </rPr>
      <t>2 kos/m2</t>
    </r>
    <r>
      <rPr>
        <sz val="10"/>
        <color theme="1"/>
        <rFont val="Arial Narrow"/>
        <family val="2"/>
        <charset val="238"/>
      </rPr>
      <t xml:space="preserve">, na preklopih: </t>
    </r>
    <r>
      <rPr>
        <b/>
        <i/>
        <sz val="10"/>
        <color theme="1"/>
        <rFont val="Arial Narrow"/>
        <family val="2"/>
        <charset val="238"/>
      </rPr>
      <t>5 kos/tm</t>
    </r>
    <r>
      <rPr>
        <sz val="10"/>
        <color theme="1"/>
        <rFont val="Arial Narrow"/>
        <family val="2"/>
        <charset val="238"/>
      </rPr>
      <t xml:space="preserve">)
</t>
    </r>
  </si>
  <si>
    <t>62 428a</t>
  </si>
  <si>
    <r>
      <t xml:space="preserve">Barvanje </t>
    </r>
    <r>
      <rPr>
        <b/>
        <i/>
        <sz val="10"/>
        <color theme="1"/>
        <rFont val="Arial Narrow"/>
        <family val="2"/>
        <charset val="238"/>
      </rPr>
      <t>dela cestišča pod talno oznako</t>
    </r>
    <r>
      <rPr>
        <sz val="10"/>
        <color theme="1"/>
        <rFont val="Arial Narrow"/>
        <family val="2"/>
        <charset val="238"/>
      </rPr>
      <t xml:space="preserve"> ''</t>
    </r>
    <r>
      <rPr>
        <i/>
        <sz val="10"/>
        <color theme="1"/>
        <rFont val="Arial Narrow"/>
        <family val="2"/>
        <charset val="238"/>
      </rPr>
      <t>5603-območje omejene hitrosti 30km/h</t>
    </r>
    <r>
      <rPr>
        <sz val="10"/>
        <color theme="1"/>
        <rFont val="Arial Narrow"/>
        <family val="2"/>
        <charset val="238"/>
      </rPr>
      <t xml:space="preserve">'' z </t>
    </r>
    <r>
      <rPr>
        <b/>
        <i/>
        <sz val="10"/>
        <color theme="1"/>
        <rFont val="Arial Narrow"/>
        <family val="2"/>
        <charset val="238"/>
      </rPr>
      <t xml:space="preserve">debeloslojne večkomponentno </t>
    </r>
    <r>
      <rPr>
        <sz val="10"/>
        <color theme="1"/>
        <rFont val="Arial Narrow"/>
        <family val="2"/>
        <charset val="238"/>
      </rPr>
      <t>vročo plastiko</t>
    </r>
    <r>
      <rPr>
        <b/>
        <i/>
        <sz val="10"/>
        <color theme="1"/>
        <rFont val="Arial Narrow"/>
        <family val="2"/>
        <charset val="238"/>
      </rPr>
      <t xml:space="preserve"> bele/rdeče barve </t>
    </r>
    <r>
      <rPr>
        <sz val="10"/>
        <color theme="1"/>
        <rFont val="Arial Narrow"/>
        <family val="2"/>
        <charset val="238"/>
      </rPr>
      <t xml:space="preserve">z vmešanimi drobci / kroglicami stekla, vključno </t>
    </r>
    <r>
      <rPr>
        <b/>
        <i/>
        <sz val="10"/>
        <color theme="1"/>
        <rFont val="Arial Narrow"/>
        <family val="2"/>
        <charset val="238"/>
      </rPr>
      <t xml:space="preserve">250 g/m2 </t>
    </r>
    <r>
      <rPr>
        <sz val="10"/>
        <color theme="1"/>
        <rFont val="Arial Narrow"/>
        <family val="2"/>
        <charset val="238"/>
      </rPr>
      <t xml:space="preserve">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>površina označbe nad 3,0 m2</t>
    </r>
    <r>
      <rPr>
        <sz val="10"/>
        <color theme="1"/>
        <rFont val="Arial Narrow"/>
        <family val="2"/>
        <charset val="238"/>
      </rPr>
      <t xml:space="preserve"> 
</t>
    </r>
    <r>
      <rPr>
        <i/>
        <sz val="10"/>
        <color theme="1"/>
        <rFont val="Arial Narrow"/>
        <family val="2"/>
        <charset val="238"/>
      </rPr>
      <t xml:space="preserve">(na začetku predvidene ureditve pri </t>
    </r>
    <r>
      <rPr>
        <b/>
        <i/>
        <sz val="10"/>
        <color theme="1"/>
        <rFont val="Arial Narrow"/>
        <family val="2"/>
        <charset val="238"/>
      </rPr>
      <t>profilu P2</t>
    </r>
    <r>
      <rPr>
        <i/>
        <sz val="10"/>
        <color theme="1"/>
        <rFont val="Arial Narrow"/>
        <family val="2"/>
        <charset val="238"/>
      </rPr>
      <t xml:space="preserve"> in na koncu predvidene ureditve pri </t>
    </r>
    <r>
      <rPr>
        <b/>
        <i/>
        <sz val="10"/>
        <color theme="1"/>
        <rFont val="Arial Narrow"/>
        <family val="2"/>
        <charset val="238"/>
      </rPr>
      <t>profilu P21</t>
    </r>
    <r>
      <rPr>
        <i/>
        <sz val="10"/>
        <color theme="1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</si>
  <si>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bele/rdeče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nad 3,0 m2
</t>
    </r>
    <r>
      <rPr>
        <i/>
        <sz val="10"/>
        <color theme="1"/>
        <rFont val="Arial Narrow"/>
        <family val="2"/>
        <charset val="238"/>
      </rPr>
      <t xml:space="preserve">( 5603-območje omejene hitrosti 30km/h )
</t>
    </r>
  </si>
  <si>
    <r>
      <t xml:space="preserve">Barvanje </t>
    </r>
    <r>
      <rPr>
        <b/>
        <i/>
        <sz val="10"/>
        <color theme="1"/>
        <rFont val="Arial Narrow"/>
        <family val="2"/>
        <charset val="238"/>
      </rPr>
      <t xml:space="preserve">naletnega dela betonskega robnika </t>
    </r>
    <r>
      <rPr>
        <sz val="10"/>
        <color theme="1"/>
        <rFont val="Arial Narrow"/>
        <family val="2"/>
        <charset val="238"/>
      </rPr>
      <t xml:space="preserve">s kombinacijo barve </t>
    </r>
    <r>
      <rPr>
        <b/>
        <i/>
        <sz val="10"/>
        <color theme="1"/>
        <rFont val="Arial Narrow"/>
        <family val="2"/>
        <charset val="238"/>
      </rPr>
      <t xml:space="preserve">rdeča/bela </t>
    </r>
    <r>
      <rPr>
        <sz val="10"/>
        <color theme="1"/>
        <rFont val="Arial Narrow"/>
        <family val="2"/>
        <charset val="238"/>
      </rPr>
      <t xml:space="preserve">z enokomponentno barvo, vključno </t>
    </r>
    <r>
      <rPr>
        <b/>
        <i/>
        <sz val="10"/>
        <color theme="1"/>
        <rFont val="Arial Narrow"/>
        <family val="2"/>
        <charset val="238"/>
      </rPr>
      <t xml:space="preserve">250 g/m2 </t>
    </r>
    <r>
      <rPr>
        <sz val="10"/>
        <color theme="1"/>
        <rFont val="Arial Narrow"/>
        <family val="2"/>
        <charset val="238"/>
      </rPr>
      <t xml:space="preserve">posipa z drobci / kroglicami stekla, strojno, debelina plasti suhe snovi </t>
    </r>
    <r>
      <rPr>
        <b/>
        <i/>
        <sz val="10"/>
        <color theme="1"/>
        <rFont val="Arial Narrow"/>
        <family val="2"/>
        <charset val="238"/>
      </rPr>
      <t xml:space="preserve">200 µm </t>
    </r>
    <r>
      <rPr>
        <i/>
        <sz val="10"/>
        <color theme="1"/>
        <rFont val="Arial Narrow"/>
        <family val="2"/>
        <charset val="238"/>
      </rPr>
      <t xml:space="preserve">(1/1/1)
</t>
    </r>
  </si>
  <si>
    <r>
      <t>Doplačilo za izdelavo</t>
    </r>
    <r>
      <rPr>
        <b/>
        <i/>
        <sz val="10"/>
        <color theme="1"/>
        <rFont val="Arial Narrow"/>
        <family val="2"/>
        <charset val="238"/>
      </rPr>
      <t xml:space="preserve"> prekinjenih tankoslojnih</t>
    </r>
    <r>
      <rPr>
        <sz val="10"/>
        <color theme="1"/>
        <rFont val="Arial Narrow"/>
        <family val="2"/>
        <charset val="238"/>
      </rPr>
      <t xml:space="preserve"> vzdolžnih označb na parkirišču, </t>
    </r>
    <r>
      <rPr>
        <b/>
        <i/>
        <sz val="10"/>
        <color theme="1"/>
        <rFont val="Arial Narrow"/>
        <family val="2"/>
        <charset val="238"/>
      </rPr>
      <t>širina črte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12 cm </t>
    </r>
    <r>
      <rPr>
        <i/>
        <sz val="10"/>
        <color theme="1"/>
        <rFont val="Arial Narrow"/>
        <family val="2"/>
        <charset val="238"/>
      </rPr>
      <t xml:space="preserve"> ( 5121 )</t>
    </r>
    <r>
      <rPr>
        <sz val="10"/>
        <color theme="1"/>
        <rFont val="Arial Narrow"/>
        <family val="2"/>
        <charset val="238"/>
      </rPr>
      <t xml:space="preserve">
</t>
    </r>
  </si>
  <si>
    <r>
      <t>Doplačilo za izdelavo</t>
    </r>
    <r>
      <rPr>
        <b/>
        <i/>
        <sz val="10"/>
        <color theme="1"/>
        <rFont val="Arial Narrow"/>
        <family val="2"/>
        <charset val="238"/>
      </rPr>
      <t xml:space="preserve"> prekinjenih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debeloslojnih</t>
    </r>
    <r>
      <rPr>
        <sz val="10"/>
        <color theme="1"/>
        <rFont val="Arial Narrow"/>
        <family val="2"/>
        <charset val="238"/>
      </rPr>
      <t xml:space="preserve"> vzdolžnih označb na vozišču, </t>
    </r>
    <r>
      <rPr>
        <b/>
        <i/>
        <sz val="10"/>
        <color theme="1"/>
        <rFont val="Arial Narrow"/>
        <family val="2"/>
        <charset val="238"/>
      </rPr>
      <t>širina črte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12 cm </t>
    </r>
    <r>
      <rPr>
        <i/>
        <sz val="10"/>
        <color theme="1"/>
        <rFont val="Arial Narrow"/>
        <family val="2"/>
        <charset val="238"/>
      </rPr>
      <t xml:space="preserve"> ( 5121-3 )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</si>
  <si>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do 0,5 m2
</t>
    </r>
    <r>
      <rPr>
        <i/>
        <sz val="10"/>
        <color theme="1"/>
        <rFont val="Arial Narrow"/>
        <family val="2"/>
        <charset val="238"/>
      </rPr>
      <t>( puščice na kolesarski stezi - 5411, 5421, 5422 )</t>
    </r>
    <r>
      <rPr>
        <b/>
        <i/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</si>
  <si>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0,6 do 1,0 m2
</t>
    </r>
    <r>
      <rPr>
        <i/>
        <sz val="10"/>
        <color theme="1"/>
        <rFont val="Arial Narrow"/>
        <family val="2"/>
        <charset val="238"/>
      </rPr>
      <t>( piktogrami na kolesarski stezi - 5609-1 )</t>
    </r>
    <r>
      <rPr>
        <b/>
        <i/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</si>
  <si>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bele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 xml:space="preserve">250 g/m2 </t>
    </r>
    <r>
      <rPr>
        <sz val="10"/>
        <color theme="1"/>
        <rFont val="Arial Narrow"/>
        <family val="2"/>
        <charset val="238"/>
      </rPr>
      <t xml:space="preserve">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nad 1,5 m2
</t>
    </r>
    <r>
      <rPr>
        <i/>
        <sz val="10"/>
        <color theme="1"/>
        <rFont val="Arial Narrow"/>
        <family val="2"/>
        <charset val="238"/>
      </rPr>
      <t xml:space="preserve">( 5231-širine 400 cm 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</si>
  <si>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prečne in ostalih označb na vozišču z </t>
    </r>
    <r>
      <rPr>
        <b/>
        <i/>
        <sz val="10"/>
        <color theme="1"/>
        <rFont val="Arial Narrow"/>
        <family val="2"/>
        <charset val="238"/>
      </rPr>
      <t>večkomponentno</t>
    </r>
    <r>
      <rPr>
        <sz val="10"/>
        <color theme="1"/>
        <rFont val="Arial Narrow"/>
        <family val="2"/>
        <charset val="238"/>
      </rPr>
      <t xml:space="preserve"> vročo plastiko</t>
    </r>
    <r>
      <rPr>
        <b/>
        <i/>
        <sz val="10"/>
        <color theme="1"/>
        <rFont val="Arial Narrow"/>
        <family val="2"/>
        <charset val="238"/>
      </rPr>
      <t xml:space="preserve"> rumene barve</t>
    </r>
    <r>
      <rPr>
        <sz val="10"/>
        <color theme="1"/>
        <rFont val="Arial Narrow"/>
        <family val="2"/>
        <charset val="238"/>
      </rPr>
      <t xml:space="preserve"> z vmešanimi drobci / kroglicami stekla,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dodatnega posipa z drobci stekla, strojno, debelina plasti suhe snovi </t>
    </r>
    <r>
      <rPr>
        <b/>
        <i/>
        <sz val="10"/>
        <color theme="1"/>
        <rFont val="Arial Narrow"/>
        <family val="2"/>
        <charset val="238"/>
      </rPr>
      <t>300 µm</t>
    </r>
    <r>
      <rPr>
        <sz val="10"/>
        <color theme="1"/>
        <rFont val="Arial Narrow"/>
        <family val="2"/>
        <charset val="238"/>
      </rPr>
      <t xml:space="preserve">, posamezna </t>
    </r>
    <r>
      <rPr>
        <b/>
        <i/>
        <sz val="10"/>
        <color theme="1"/>
        <rFont val="Arial Narrow"/>
        <family val="2"/>
        <charset val="238"/>
      </rPr>
      <t xml:space="preserve">površina označbe do 0,5 m2
</t>
    </r>
    <r>
      <rPr>
        <i/>
        <sz val="10"/>
        <color theme="1"/>
        <rFont val="Arial Narrow"/>
        <family val="2"/>
        <charset val="238"/>
      </rPr>
      <t xml:space="preserve">( 5335-1 - klančina prometne grbine )
</t>
    </r>
  </si>
  <si>
    <r>
      <t xml:space="preserve">Izdelava </t>
    </r>
    <r>
      <rPr>
        <b/>
        <i/>
        <sz val="10"/>
        <rFont val="Arial Narrow"/>
        <family val="2"/>
        <charset val="238"/>
      </rPr>
      <t>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</t>
    </r>
    <r>
      <rPr>
        <b/>
        <i/>
        <sz val="10"/>
        <rFont val="Arial Narrow"/>
        <family val="2"/>
        <charset val="238"/>
      </rPr>
      <t xml:space="preserve"> bele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12 cm</t>
    </r>
    <r>
      <rPr>
        <sz val="10"/>
        <rFont val="Arial Narrow"/>
        <family val="2"/>
        <charset val="238"/>
      </rPr>
      <t xml:space="preserve"> ( </t>
    </r>
    <r>
      <rPr>
        <i/>
        <sz val="10"/>
        <rFont val="Arial Narrow"/>
        <family val="2"/>
        <charset val="238"/>
      </rPr>
      <t>5111, 5121-3, 5112</t>
    </r>
    <r>
      <rPr>
        <sz val="10"/>
        <rFont val="Arial Narrow"/>
        <family val="2"/>
        <charset val="238"/>
      </rPr>
      <t xml:space="preserve"> )
</t>
    </r>
  </si>
  <si>
    <r>
      <t>Izdelava</t>
    </r>
    <r>
      <rPr>
        <b/>
        <i/>
        <sz val="10"/>
        <rFont val="Arial Narrow"/>
        <family val="2"/>
        <charset val="238"/>
      </rPr>
      <t xml:space="preserve"> debeloslojne</t>
    </r>
    <r>
      <rPr>
        <sz val="10"/>
        <rFont val="Arial Narrow"/>
        <family val="2"/>
        <charset val="238"/>
      </rPr>
      <t xml:space="preserve"> vzdolžne označbe na vozišču z </t>
    </r>
    <r>
      <rPr>
        <b/>
        <i/>
        <sz val="10"/>
        <rFont val="Arial Narrow"/>
        <family val="2"/>
        <charset val="238"/>
      </rPr>
      <t>večkomponentno</t>
    </r>
    <r>
      <rPr>
        <sz val="10"/>
        <rFont val="Arial Narrow"/>
        <family val="2"/>
        <charset val="238"/>
      </rPr>
      <t xml:space="preserve"> vročo plastiko </t>
    </r>
    <r>
      <rPr>
        <b/>
        <i/>
        <sz val="10"/>
        <rFont val="Arial Narrow"/>
        <family val="2"/>
        <charset val="238"/>
      </rPr>
      <t>rdeče barve</t>
    </r>
    <r>
      <rPr>
        <sz val="10"/>
        <rFont val="Arial Narrow"/>
        <family val="2"/>
        <charset val="238"/>
      </rPr>
      <t xml:space="preserve">, vključno </t>
    </r>
    <r>
      <rPr>
        <b/>
        <i/>
        <sz val="10"/>
        <rFont val="Arial Narrow"/>
        <family val="2"/>
        <charset val="238"/>
      </rPr>
      <t>250 g/m2</t>
    </r>
    <r>
      <rPr>
        <sz val="10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rFont val="Arial Narrow"/>
        <family val="2"/>
        <charset val="238"/>
      </rPr>
      <t>300 µm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širina črte 20 cm</t>
    </r>
    <r>
      <rPr>
        <sz val="10"/>
        <rFont val="Arial Narrow"/>
        <family val="2"/>
        <charset val="238"/>
      </rPr>
      <t xml:space="preserve"> ( </t>
    </r>
    <r>
      <rPr>
        <i/>
        <sz val="10"/>
        <rFont val="Arial Narrow"/>
        <family val="2"/>
        <charset val="238"/>
      </rPr>
      <t xml:space="preserve">5233 </t>
    </r>
    <r>
      <rPr>
        <sz val="10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</si>
  <si>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tankoslojne</t>
    </r>
    <r>
      <rPr>
        <sz val="10"/>
        <color theme="1"/>
        <rFont val="Arial Narrow"/>
        <family val="2"/>
        <charset val="238"/>
      </rPr>
      <t xml:space="preserve"> vzdolžne označbe na vozišču z </t>
    </r>
    <r>
      <rPr>
        <b/>
        <i/>
        <sz val="10"/>
        <color theme="1"/>
        <rFont val="Arial Narrow"/>
        <family val="2"/>
        <charset val="238"/>
      </rPr>
      <t>enokomponentno belo barvo</t>
    </r>
    <r>
      <rPr>
        <sz val="10"/>
        <color theme="1"/>
        <rFont val="Arial Narrow"/>
        <family val="2"/>
        <charset val="238"/>
      </rPr>
      <t xml:space="preserve">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color theme="1"/>
        <rFont val="Arial Narrow"/>
        <family val="2"/>
        <charset val="238"/>
      </rPr>
      <t>200 µm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širina črte 12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5121</t>
    </r>
    <r>
      <rPr>
        <sz val="10"/>
        <color theme="1"/>
        <rFont val="Arial Narrow"/>
        <family val="2"/>
        <charset val="238"/>
      </rPr>
      <t xml:space="preserve"> )
</t>
    </r>
  </si>
  <si>
    <r>
      <t>Izdelava</t>
    </r>
    <r>
      <rPr>
        <b/>
        <i/>
        <sz val="10"/>
        <color theme="1"/>
        <rFont val="Arial Narrow"/>
        <family val="2"/>
        <charset val="238"/>
      </rPr>
      <t xml:space="preserve"> tankoslojne</t>
    </r>
    <r>
      <rPr>
        <sz val="10"/>
        <color theme="1"/>
        <rFont val="Arial Narrow"/>
        <family val="2"/>
        <charset val="238"/>
      </rPr>
      <t xml:space="preserve"> vzdolžne označbe na vozišču z </t>
    </r>
    <r>
      <rPr>
        <b/>
        <i/>
        <sz val="10"/>
        <color theme="1"/>
        <rFont val="Arial Narrow"/>
        <family val="2"/>
        <charset val="238"/>
      </rPr>
      <t>enokomponentno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</t>
    </r>
    <r>
      <rPr>
        <b/>
        <i/>
        <sz val="10"/>
        <color theme="1"/>
        <rFont val="Arial Narrow"/>
        <family val="2"/>
        <charset val="238"/>
      </rPr>
      <t>250 g/m2</t>
    </r>
    <r>
      <rPr>
        <sz val="10"/>
        <color theme="1"/>
        <rFont val="Arial Narrow"/>
        <family val="2"/>
        <charset val="238"/>
      </rPr>
      <t xml:space="preserve"> posipa z drobci / kroglicami stekla, strojno, debelina plasti suhe snovi </t>
    </r>
    <r>
      <rPr>
        <b/>
        <i/>
        <sz val="10"/>
        <color theme="1"/>
        <rFont val="Arial Narrow"/>
        <family val="2"/>
        <charset val="238"/>
      </rPr>
      <t>200 µm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širina črte 10 cm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5356-1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</si>
  <si>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Dobava, dostava, izkop potrebne luknje in zasaditev drevesne vrste </t>
    </r>
    <r>
      <rPr>
        <b/>
        <i/>
        <sz val="10"/>
        <color theme="1"/>
        <rFont val="Arial Narrow"/>
        <family val="2"/>
        <charset val="238"/>
      </rPr>
      <t>''Platanus orientalis 'Minaret''</t>
    </r>
    <r>
      <rPr>
        <sz val="10"/>
        <color theme="1"/>
        <rFont val="Arial Narrow"/>
        <family val="2"/>
        <charset val="238"/>
      </rPr>
      <t xml:space="preserve"> (izbor arborista) visokih od </t>
    </r>
    <r>
      <rPr>
        <b/>
        <i/>
        <sz val="10"/>
        <color theme="1"/>
        <rFont val="Arial Narrow"/>
        <family val="2"/>
        <charset val="238"/>
      </rPr>
      <t>4,0 m</t>
    </r>
    <r>
      <rPr>
        <sz val="10"/>
        <color theme="1"/>
        <rFont val="Arial Narrow"/>
        <family val="2"/>
        <charset val="238"/>
      </rPr>
      <t xml:space="preserve"> do </t>
    </r>
    <r>
      <rPr>
        <b/>
        <i/>
        <sz val="10"/>
        <color theme="1"/>
        <rFont val="Arial Narrow"/>
        <family val="2"/>
        <charset val="238"/>
      </rPr>
      <t>6,0 m</t>
    </r>
    <r>
      <rPr>
        <sz val="10"/>
        <color theme="1"/>
        <rFont val="Arial Narrow"/>
        <family val="2"/>
        <charset val="238"/>
      </rPr>
      <t xml:space="preserve"> ter zasutje s humusom na območju otoka v zelenici med parkirišči.
</t>
    </r>
  </si>
  <si>
    <r>
      <t xml:space="preserve">Dobava materiala in izdelava pasovnega </t>
    </r>
    <r>
      <rPr>
        <b/>
        <i/>
        <sz val="10"/>
        <rFont val="Arial Narrow"/>
        <family val="2"/>
        <charset val="238"/>
      </rPr>
      <t>AB temelja</t>
    </r>
    <r>
      <rPr>
        <sz val="10"/>
        <rFont val="Arial Narrow"/>
        <family val="2"/>
        <charset val="238"/>
      </rPr>
      <t xml:space="preserve"> dim.: </t>
    </r>
    <r>
      <rPr>
        <b/>
        <i/>
        <sz val="10"/>
        <rFont val="Arial Narrow"/>
        <family val="2"/>
        <charset val="238"/>
      </rPr>
      <t>17,0x0,80x0,50m</t>
    </r>
    <r>
      <rPr>
        <sz val="10"/>
        <rFont val="Arial Narrow"/>
        <family val="2"/>
        <charset val="238"/>
      </rPr>
      <t xml:space="preserve"> </t>
    </r>
    <r>
      <rPr>
        <i/>
        <sz val="10"/>
        <rFont val="Arial Narrow"/>
        <family val="2"/>
        <charset val="238"/>
      </rPr>
      <t>(ocena)</t>
    </r>
    <r>
      <rPr>
        <sz val="10"/>
        <rFont val="Arial Narrow"/>
        <family val="2"/>
        <charset val="238"/>
      </rPr>
      <t xml:space="preserve">, vključno s podložnim betonom </t>
    </r>
    <r>
      <rPr>
        <b/>
        <i/>
        <sz val="10"/>
        <rFont val="Arial Narrow"/>
        <family val="2"/>
        <charset val="238"/>
      </rPr>
      <t>C12/15</t>
    </r>
    <r>
      <rPr>
        <sz val="10"/>
        <rFont val="Arial Narrow"/>
        <family val="2"/>
        <charset val="238"/>
      </rPr>
      <t xml:space="preserve">, </t>
    </r>
    <r>
      <rPr>
        <b/>
        <i/>
        <sz val="10"/>
        <rFont val="Arial Narrow"/>
        <family val="2"/>
        <charset val="238"/>
      </rPr>
      <t>opaženjem</t>
    </r>
    <r>
      <rPr>
        <sz val="10"/>
        <rFont val="Arial Narrow"/>
        <family val="2"/>
        <charset val="238"/>
      </rPr>
      <t xml:space="preserve"> in </t>
    </r>
    <r>
      <rPr>
        <b/>
        <i/>
        <sz val="10"/>
        <rFont val="Arial Narrow"/>
        <family val="2"/>
        <charset val="238"/>
      </rPr>
      <t>vgraditvijo rebrastih žic</t>
    </r>
    <r>
      <rPr>
        <sz val="10"/>
        <rFont val="Arial Narrow"/>
        <family val="2"/>
        <charset val="238"/>
      </rPr>
      <t xml:space="preserve"> iz visokovrednega naravno </t>
    </r>
    <r>
      <rPr>
        <b/>
        <i/>
        <sz val="10"/>
        <rFont val="Arial Narrow"/>
        <family val="2"/>
        <charset val="238"/>
      </rPr>
      <t>trdega jekla B St 500 S</t>
    </r>
    <r>
      <rPr>
        <sz val="10"/>
        <rFont val="Arial Narrow"/>
        <family val="2"/>
        <charset val="238"/>
      </rPr>
      <t xml:space="preserve"> s premerom </t>
    </r>
    <r>
      <rPr>
        <b/>
        <i/>
        <sz val="10"/>
        <rFont val="Arial Narrow"/>
        <family val="2"/>
        <charset val="238"/>
      </rPr>
      <t>do 14 mm</t>
    </r>
    <r>
      <rPr>
        <sz val="10"/>
        <rFont val="Arial Narrow"/>
        <family val="2"/>
        <charset val="238"/>
      </rPr>
      <t xml:space="preserve"> (za enostavno ojačitev temeljev) ter dobava in vgradnja ojačenega cementnega betona </t>
    </r>
    <r>
      <rPr>
        <b/>
        <i/>
        <sz val="10"/>
        <rFont val="Arial Narrow"/>
        <family val="2"/>
        <charset val="238"/>
      </rPr>
      <t>C25/30</t>
    </r>
    <r>
      <rPr>
        <sz val="10"/>
        <rFont val="Arial Narrow"/>
        <family val="2"/>
        <charset val="238"/>
      </rPr>
      <t xml:space="preserve"> v temelje (vključno z dodatki: PV-II, XC4, XD2, XF3 in Dmax = 16/32 mm) ter "</t>
    </r>
    <r>
      <rPr>
        <b/>
        <i/>
        <sz val="10"/>
        <rFont val="Arial Narrow"/>
        <family val="2"/>
        <charset val="238"/>
      </rPr>
      <t>jekleno sidrno ploščo</t>
    </r>
    <r>
      <rPr>
        <sz val="10"/>
        <rFont val="Arial Narrow"/>
        <family val="2"/>
        <charset val="238"/>
      </rPr>
      <t>" in "</t>
    </r>
    <r>
      <rPr>
        <b/>
        <i/>
        <sz val="10"/>
        <rFont val="Arial Narrow"/>
        <family val="2"/>
        <charset val="238"/>
      </rPr>
      <t>cevmi za elektriko in ozemljitev</t>
    </r>
    <r>
      <rPr>
        <sz val="10"/>
        <rFont val="Arial Narrow"/>
        <family val="2"/>
        <charset val="238"/>
      </rPr>
      <t>" do vseh segmentov ključavnic za kolesa in sicer kot predpripravo za postavitev postajališča "</t>
    </r>
    <r>
      <rPr>
        <b/>
        <i/>
        <sz val="10"/>
        <rFont val="Arial Narrow"/>
        <family val="2"/>
        <charset val="238"/>
      </rPr>
      <t>BICIKELJ</t>
    </r>
    <r>
      <rPr>
        <sz val="10"/>
        <rFont val="Arial Narrow"/>
        <family val="2"/>
        <charset val="238"/>
      </rPr>
      <t xml:space="preserve">"
• 22 kos - ključavnic za kolesa "bicikelj".
</t>
    </r>
  </si>
  <si>
    <r>
      <t xml:space="preserve">Dobava materiala in izdelava </t>
    </r>
    <r>
      <rPr>
        <b/>
        <i/>
        <sz val="10"/>
        <color theme="1"/>
        <rFont val="Arial Narrow"/>
        <family val="2"/>
        <charset val="238"/>
      </rPr>
      <t>AB temeljev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>50x50x50 cm</t>
    </r>
    <r>
      <rPr>
        <sz val="10"/>
        <color theme="1"/>
        <rFont val="Arial Narrow"/>
        <family val="2"/>
        <charset val="238"/>
      </rPr>
      <t xml:space="preserve"> (ocena), vključno s podložnim betonom </t>
    </r>
    <r>
      <rPr>
        <b/>
        <i/>
        <sz val="10"/>
        <color theme="1"/>
        <rFont val="Arial Narrow"/>
        <family val="2"/>
        <charset val="238"/>
      </rPr>
      <t>C12/15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>opaženjem</t>
    </r>
    <r>
      <rPr>
        <sz val="10"/>
        <color theme="1"/>
        <rFont val="Arial Narrow"/>
        <family val="2"/>
        <charset val="238"/>
      </rPr>
      <t xml:space="preserve"> in </t>
    </r>
    <r>
      <rPr>
        <b/>
        <i/>
        <sz val="10"/>
        <color theme="1"/>
        <rFont val="Arial Narrow"/>
        <family val="2"/>
        <charset val="238"/>
      </rPr>
      <t>vgraditvijo rebrastih žic</t>
    </r>
    <r>
      <rPr>
        <sz val="10"/>
        <color theme="1"/>
        <rFont val="Arial Narrow"/>
        <family val="2"/>
        <charset val="238"/>
      </rPr>
      <t xml:space="preserve"> iz visokovrednega naravno </t>
    </r>
    <r>
      <rPr>
        <b/>
        <i/>
        <sz val="10"/>
        <color theme="1"/>
        <rFont val="Arial Narrow"/>
        <family val="2"/>
        <charset val="238"/>
      </rPr>
      <t>trdega jekla B St 500 S</t>
    </r>
    <r>
      <rPr>
        <sz val="10"/>
        <color theme="1"/>
        <rFont val="Arial Narrow"/>
        <family val="2"/>
        <charset val="238"/>
      </rPr>
      <t xml:space="preserve"> s premerom </t>
    </r>
    <r>
      <rPr>
        <b/>
        <i/>
        <sz val="10"/>
        <color theme="1"/>
        <rFont val="Arial Narrow"/>
        <family val="2"/>
        <charset val="238"/>
      </rPr>
      <t>do 14 mm</t>
    </r>
    <r>
      <rPr>
        <sz val="10"/>
        <color theme="1"/>
        <rFont val="Arial Narrow"/>
        <family val="2"/>
        <charset val="238"/>
      </rPr>
      <t xml:space="preserve"> (za enostavno ojačitev temeljev) ter dobava in vgradnja ojačenega cementnega betona </t>
    </r>
    <r>
      <rPr>
        <b/>
        <i/>
        <sz val="10"/>
        <color theme="1"/>
        <rFont val="Arial Narrow"/>
        <family val="2"/>
        <charset val="238"/>
      </rPr>
      <t>C25/30</t>
    </r>
    <r>
      <rPr>
        <sz val="10"/>
        <color theme="1"/>
        <rFont val="Arial Narrow"/>
        <family val="2"/>
        <charset val="238"/>
      </rPr>
      <t xml:space="preserve"> v temelje (vključno z dodatki: PV-II, XC4, XD2, XF3
in Dmax = 16/32 mm) ter "</t>
    </r>
    <r>
      <rPr>
        <b/>
        <i/>
        <sz val="10"/>
        <color theme="1"/>
        <rFont val="Arial Narrow"/>
        <family val="2"/>
        <charset val="238"/>
      </rPr>
      <t>jekleno sidrno ploščo</t>
    </r>
    <r>
      <rPr>
        <sz val="10"/>
        <color theme="1"/>
        <rFont val="Arial Narrow"/>
        <family val="2"/>
        <charset val="238"/>
      </rPr>
      <t>" za predpripravo za postavitev e-polnilnic/bicikelj in parkomatov:
• 2 kos - avto,
• 1 kos - e-kolesa/e-skiroji (skupaj),
• 1 kos - bicikelj (glavni terminal),
• 2 kos - parkomat.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</si>
</sst>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50">
    <xf numFmtId="0" fontId="0" fillId="0" borderId="0" xfId="0"/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" fontId="5" fillId="0" borderId="0" xfId="0" applyNumberFormat="1" applyFont="1" applyAlignment="1" applyProtection="1">
      <alignment horizontal="center" vertical="top" wrapText="1"/>
    </xf>
    <xf numFmtId="2" fontId="7" fillId="4" borderId="5" xfId="0" applyNumberFormat="1" applyFont="1" applyFill="1" applyBorder="1" applyAlignment="1" applyProtection="1">
      <alignment horizontal="center" wrapText="1"/>
    </xf>
    <xf numFmtId="2" fontId="7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 wrapText="1"/>
    </xf>
    <xf numFmtId="2" fontId="9" fillId="0" borderId="11" xfId="0" applyNumberFormat="1" applyFont="1" applyBorder="1" applyAlignment="1" applyProtection="1">
      <alignment horizontal="center" wrapText="1"/>
    </xf>
    <xf numFmtId="4" fontId="8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2" fillId="0" borderId="0" xfId="0" applyFont="1"/>
    <xf numFmtId="0" fontId="2" fillId="0" borderId="0" xfId="0" applyFont="1" applyFill="1"/>
    <xf numFmtId="0" fontId="19" fillId="0" borderId="0" xfId="0" applyFont="1"/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0" xfId="0" applyNumberFormat="1" applyFont="1" applyFill="1" applyAlignment="1">
      <alignment vertical="top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0" borderId="12" xfId="0" applyNumberFormat="1" applyFont="1" applyFill="1" applyBorder="1" applyAlignment="1">
      <alignment vertical="top"/>
    </xf>
    <xf numFmtId="2" fontId="23" fillId="11" borderId="12" xfId="0" applyNumberFormat="1" applyFont="1" applyFill="1" applyBorder="1" applyAlignment="1">
      <alignment vertical="top"/>
    </xf>
    <xf numFmtId="2" fontId="11" fillId="11" borderId="12" xfId="0" applyNumberFormat="1" applyFont="1" applyFill="1" applyBorder="1" applyAlignment="1">
      <alignment vertical="top"/>
    </xf>
    <xf numFmtId="2" fontId="23" fillId="6" borderId="12" xfId="0" applyNumberFormat="1" applyFont="1" applyFill="1" applyBorder="1" applyAlignment="1">
      <alignment vertical="top"/>
    </xf>
    <xf numFmtId="2" fontId="10" fillId="8" borderId="12" xfId="0" applyNumberFormat="1" applyFont="1" applyFill="1" applyBorder="1" applyAlignment="1">
      <alignment vertical="top"/>
    </xf>
    <xf numFmtId="2" fontId="10" fillId="5" borderId="12" xfId="0" applyNumberFormat="1" applyFont="1" applyFill="1" applyBorder="1" applyAlignment="1">
      <alignment vertical="top"/>
    </xf>
    <xf numFmtId="2" fontId="10" fillId="9" borderId="12" xfId="0" applyNumberFormat="1" applyFont="1" applyFill="1" applyBorder="1" applyAlignment="1">
      <alignment vertical="top"/>
    </xf>
    <xf numFmtId="2" fontId="10" fillId="0" borderId="0" xfId="0" applyNumberFormat="1" applyFont="1" applyBorder="1" applyAlignment="1">
      <alignment vertical="top"/>
    </xf>
    <xf numFmtId="2" fontId="10" fillId="15" borderId="12" xfId="0" applyNumberFormat="1" applyFont="1" applyFill="1" applyBorder="1" applyAlignment="1">
      <alignment vertical="top"/>
    </xf>
    <xf numFmtId="2" fontId="23" fillId="15" borderId="12" xfId="0" applyNumberFormat="1" applyFont="1" applyFill="1" applyBorder="1" applyAlignment="1">
      <alignment vertical="top"/>
    </xf>
    <xf numFmtId="2" fontId="23" fillId="5" borderId="0" xfId="0" applyNumberFormat="1" applyFont="1" applyFill="1" applyAlignment="1">
      <alignment vertical="top"/>
    </xf>
    <xf numFmtId="2" fontId="23" fillId="9" borderId="0" xfId="0" applyNumberFormat="1" applyFont="1" applyFill="1" applyAlignment="1">
      <alignment vertical="top"/>
    </xf>
    <xf numFmtId="2" fontId="23" fillId="15" borderId="0" xfId="0" applyNumberFormat="1" applyFont="1" applyFill="1" applyAlignment="1">
      <alignment vertical="top"/>
    </xf>
    <xf numFmtId="2" fontId="23" fillId="12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23" fillId="10" borderId="0" xfId="0" applyNumberFormat="1" applyFont="1" applyFill="1" applyAlignment="1">
      <alignment vertical="top"/>
    </xf>
    <xf numFmtId="2" fontId="10" fillId="12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0" borderId="0" xfId="0" applyNumberFormat="1" applyFont="1" applyFill="1" applyAlignment="1">
      <alignment vertical="top"/>
    </xf>
    <xf numFmtId="2" fontId="10" fillId="15" borderId="0" xfId="0" applyNumberFormat="1" applyFont="1" applyFill="1" applyAlignment="1">
      <alignment vertical="top"/>
    </xf>
    <xf numFmtId="2" fontId="10" fillId="9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5" fillId="7" borderId="0" xfId="0" applyNumberFormat="1" applyFont="1" applyFill="1" applyAlignment="1">
      <alignment vertical="top"/>
    </xf>
    <xf numFmtId="2" fontId="25" fillId="6" borderId="0" xfId="0" applyNumberFormat="1" applyFont="1" applyFill="1" applyAlignment="1">
      <alignment vertical="top"/>
    </xf>
    <xf numFmtId="2" fontId="25" fillId="11" borderId="0" xfId="0" applyNumberFormat="1" applyFont="1" applyFill="1" applyAlignment="1">
      <alignment vertical="top"/>
    </xf>
    <xf numFmtId="2" fontId="25" fillId="14" borderId="0" xfId="0" applyNumberFormat="1" applyFont="1" applyFill="1" applyAlignment="1">
      <alignment vertical="top"/>
    </xf>
    <xf numFmtId="2" fontId="25" fillId="13" borderId="0" xfId="0" applyNumberFormat="1" applyFont="1" applyFill="1" applyAlignment="1">
      <alignment vertical="top"/>
    </xf>
    <xf numFmtId="2" fontId="24" fillId="11" borderId="0" xfId="0" applyNumberFormat="1" applyFont="1" applyFill="1" applyAlignment="1">
      <alignment vertical="top"/>
    </xf>
    <xf numFmtId="2" fontId="10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10" fillId="0" borderId="0" xfId="0" applyNumberFormat="1" applyFont="1" applyFill="1" applyAlignment="1" applyProtection="1">
      <alignment vertical="top"/>
    </xf>
    <xf numFmtId="2" fontId="10" fillId="7" borderId="0" xfId="0" applyNumberFormat="1" applyFont="1" applyFill="1" applyAlignment="1" applyProtection="1">
      <alignment vertical="top"/>
    </xf>
    <xf numFmtId="2" fontId="24" fillId="5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23" fillId="11" borderId="0" xfId="0" applyNumberFormat="1" applyFont="1" applyFill="1" applyAlignment="1" applyProtection="1">
      <alignment vertical="top"/>
    </xf>
    <xf numFmtId="2" fontId="24" fillId="6" borderId="0" xfId="0" applyNumberFormat="1" applyFont="1" applyFill="1" applyAlignment="1" applyProtection="1">
      <alignment vertical="top"/>
    </xf>
    <xf numFmtId="2" fontId="11" fillId="11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2" fontId="10" fillId="11" borderId="0" xfId="0" applyNumberFormat="1" applyFont="1" applyFill="1" applyAlignment="1" applyProtection="1">
      <alignment vertical="top"/>
    </xf>
    <xf numFmtId="2" fontId="9" fillId="0" borderId="0" xfId="0" applyNumberFormat="1" applyFont="1" applyAlignment="1" applyProtection="1">
      <alignment horizontal="center" wrapText="1"/>
    </xf>
    <xf numFmtId="2" fontId="24" fillId="15" borderId="0" xfId="0" applyNumberFormat="1" applyFont="1" applyFill="1" applyAlignment="1" applyProtection="1">
      <alignment vertical="top"/>
    </xf>
    <xf numFmtId="2" fontId="23" fillId="15" borderId="0" xfId="0" applyNumberFormat="1" applyFont="1" applyFill="1" applyAlignment="1" applyProtection="1">
      <alignment vertical="top"/>
    </xf>
    <xf numFmtId="2" fontId="11" fillId="9" borderId="0" xfId="0" applyNumberFormat="1" applyFont="1" applyFill="1" applyAlignment="1" applyProtection="1">
      <alignment vertical="top"/>
    </xf>
    <xf numFmtId="2" fontId="10" fillId="9" borderId="0" xfId="0" applyNumberFormat="1" applyFont="1" applyFill="1" applyAlignment="1" applyProtection="1">
      <alignment vertical="top"/>
    </xf>
    <xf numFmtId="2" fontId="24" fillId="9" borderId="0" xfId="0" applyNumberFormat="1" applyFont="1" applyFill="1" applyAlignment="1" applyProtection="1">
      <alignment vertical="top"/>
    </xf>
    <xf numFmtId="2" fontId="10" fillId="6" borderId="0" xfId="0" applyNumberFormat="1" applyFont="1" applyFill="1" applyAlignment="1" applyProtection="1">
      <alignment vertical="top"/>
    </xf>
    <xf numFmtId="4" fontId="19" fillId="0" borderId="3" xfId="0" applyNumberFormat="1" applyFont="1" applyBorder="1" applyAlignment="1" applyProtection="1">
      <alignment horizontal="center" vertical="top" wrapText="1"/>
    </xf>
    <xf numFmtId="2" fontId="23" fillId="9" borderId="0" xfId="0" applyNumberFormat="1" applyFont="1" applyFill="1" applyAlignment="1" applyProtection="1">
      <alignment vertical="top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2" fontId="21" fillId="6" borderId="0" xfId="0" applyNumberFormat="1" applyFont="1" applyFill="1" applyAlignment="1">
      <alignment vertical="top"/>
    </xf>
    <xf numFmtId="4" fontId="19" fillId="0" borderId="3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Alignment="1" applyProtection="1">
      <alignment horizontal="left" vertical="top" wrapText="1"/>
    </xf>
    <xf numFmtId="0" fontId="12" fillId="0" borderId="0" xfId="0" applyFont="1" applyFill="1" applyProtection="1"/>
    <xf numFmtId="0" fontId="13" fillId="0" borderId="0" xfId="0" applyFont="1" applyFill="1" applyProtection="1"/>
    <xf numFmtId="0" fontId="12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wrapText="1"/>
    </xf>
    <xf numFmtId="0" fontId="13" fillId="0" borderId="0" xfId="0" applyFont="1" applyFill="1" applyAlignment="1" applyProtection="1"/>
    <xf numFmtId="0" fontId="14" fillId="0" borderId="0" xfId="0" applyFont="1" applyFill="1" applyProtection="1"/>
    <xf numFmtId="0" fontId="15" fillId="0" borderId="0" xfId="0" applyFont="1" applyFill="1" applyProtection="1"/>
    <xf numFmtId="0" fontId="13" fillId="0" borderId="4" xfId="0" applyFont="1" applyFill="1" applyBorder="1" applyProtection="1"/>
    <xf numFmtId="0" fontId="13" fillId="0" borderId="5" xfId="0" applyFont="1" applyFill="1" applyBorder="1" applyProtection="1"/>
    <xf numFmtId="164" fontId="13" fillId="0" borderId="6" xfId="0" applyNumberFormat="1" applyFont="1" applyFill="1" applyBorder="1" applyProtection="1"/>
    <xf numFmtId="164" fontId="13" fillId="0" borderId="0" xfId="0" applyNumberFormat="1" applyFont="1" applyFill="1" applyProtection="1"/>
    <xf numFmtId="0" fontId="13" fillId="0" borderId="0" xfId="0" applyFont="1" applyFill="1" applyAlignment="1" applyProtection="1">
      <alignment horizontal="right"/>
    </xf>
    <xf numFmtId="2" fontId="13" fillId="0" borderId="0" xfId="0" applyNumberFormat="1" applyFont="1" applyFill="1" applyProtection="1"/>
    <xf numFmtId="0" fontId="15" fillId="0" borderId="4" xfId="0" applyFont="1" applyFill="1" applyBorder="1" applyProtection="1"/>
    <xf numFmtId="164" fontId="15" fillId="0" borderId="6" xfId="0" applyNumberFormat="1" applyFont="1" applyFill="1" applyBorder="1" applyProtection="1"/>
    <xf numFmtId="2" fontId="17" fillId="0" borderId="7" xfId="0" applyNumberFormat="1" applyFont="1" applyFill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center" vertical="top" wrapText="1"/>
      <protection locked="0"/>
    </xf>
    <xf numFmtId="0" fontId="19" fillId="0" borderId="3" xfId="0" applyFont="1" applyBorder="1" applyAlignment="1" applyProtection="1">
      <alignment horizontal="left" vertical="top" wrapText="1"/>
    </xf>
    <xf numFmtId="0" fontId="19" fillId="0" borderId="0" xfId="0" applyFont="1" applyAlignment="1" applyProtection="1">
      <alignment wrapText="1"/>
    </xf>
    <xf numFmtId="49" fontId="19" fillId="0" borderId="3" xfId="0" applyNumberFormat="1" applyFont="1" applyBorder="1" applyAlignment="1" applyProtection="1">
      <alignment vertical="top" wrapText="1"/>
    </xf>
    <xf numFmtId="0" fontId="19" fillId="0" borderId="3" xfId="0" applyFont="1" applyBorder="1" applyAlignment="1" applyProtection="1">
      <alignment horizontal="center" vertical="top" wrapText="1"/>
    </xf>
    <xf numFmtId="4" fontId="20" fillId="0" borderId="0" xfId="0" applyNumberFormat="1" applyFont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top" wrapText="1"/>
    </xf>
    <xf numFmtId="4" fontId="2" fillId="0" borderId="0" xfId="0" applyNumberFormat="1" applyFont="1" applyBorder="1" applyAlignment="1" applyProtection="1">
      <alignment horizontal="center" vertical="top" wrapText="1"/>
    </xf>
    <xf numFmtId="0" fontId="19" fillId="0" borderId="0" xfId="0" applyFont="1" applyProtection="1"/>
    <xf numFmtId="4" fontId="19" fillId="0" borderId="3" xfId="0" applyNumberFormat="1" applyFont="1" applyBorder="1" applyAlignment="1" applyProtection="1">
      <alignment horizontal="center" vertical="top" wrapText="1"/>
      <protection locked="0"/>
    </xf>
    <xf numFmtId="2" fontId="9" fillId="0" borderId="0" xfId="0" applyNumberFormat="1" applyFont="1" applyAlignment="1" applyProtection="1">
      <alignment horizontal="center" vertical="top" wrapText="1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Fill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 wrapText="1"/>
    </xf>
    <xf numFmtId="4" fontId="5" fillId="0" borderId="0" xfId="0" applyNumberFormat="1" applyFont="1" applyFill="1" applyAlignment="1" applyProtection="1">
      <alignment horizontal="center" vertical="top" wrapText="1"/>
    </xf>
    <xf numFmtId="2" fontId="9" fillId="0" borderId="0" xfId="0" applyNumberFormat="1" applyFont="1" applyFill="1" applyAlignment="1" applyProtection="1">
      <alignment horizontal="center" wrapText="1"/>
    </xf>
    <xf numFmtId="2" fontId="9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Fill="1" applyBorder="1" applyAlignment="1" applyProtection="1">
      <alignment horizontal="left" wrapText="1"/>
    </xf>
    <xf numFmtId="2" fontId="7" fillId="0" borderId="0" xfId="0" applyNumberFormat="1" applyFont="1" applyFill="1" applyBorder="1" applyAlignment="1" applyProtection="1">
      <alignment horizontal="center" wrapText="1"/>
    </xf>
    <xf numFmtId="0" fontId="2" fillId="0" borderId="3" xfId="0" applyFont="1" applyFill="1" applyBorder="1" applyAlignment="1" applyProtection="1">
      <alignment horizontal="left" vertical="top" wrapText="1"/>
    </xf>
    <xf numFmtId="4" fontId="19" fillId="0" borderId="0" xfId="0" applyNumberFormat="1" applyFont="1" applyAlignment="1" applyProtection="1">
      <alignment horizontal="center" vertical="top" wrapText="1"/>
    </xf>
    <xf numFmtId="4" fontId="21" fillId="3" borderId="1" xfId="1" applyNumberFormat="1" applyFont="1" applyFill="1" applyAlignment="1" applyProtection="1">
      <alignment horizontal="center" vertical="center" wrapText="1"/>
    </xf>
    <xf numFmtId="4" fontId="21" fillId="0" borderId="2" xfId="1" applyNumberFormat="1" applyFont="1" applyFill="1" applyBorder="1" applyAlignment="1" applyProtection="1">
      <alignment horizontal="center" vertical="top" wrapText="1"/>
    </xf>
    <xf numFmtId="2" fontId="20" fillId="0" borderId="0" xfId="0" applyNumberFormat="1" applyFont="1" applyAlignment="1" applyProtection="1">
      <alignment horizontal="center" vertical="top" wrapText="1"/>
    </xf>
    <xf numFmtId="2" fontId="5" fillId="0" borderId="0" xfId="0" applyNumberFormat="1" applyFont="1" applyAlignment="1" applyProtection="1">
      <alignment horizontal="center" vertical="top" wrapText="1"/>
    </xf>
    <xf numFmtId="2" fontId="22" fillId="4" borderId="5" xfId="0" applyNumberFormat="1" applyFont="1" applyFill="1" applyBorder="1" applyAlignment="1" applyProtection="1">
      <alignment horizontal="center" wrapText="1"/>
    </xf>
    <xf numFmtId="4" fontId="19" fillId="4" borderId="9" xfId="0" applyNumberFormat="1" applyFont="1" applyFill="1" applyBorder="1" applyAlignment="1" applyProtection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16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27" fillId="0" borderId="0" xfId="0" applyFont="1" applyFill="1" applyAlignment="1" applyProtection="1">
      <alignment horizontal="left" vertical="top" wrapText="1"/>
    </xf>
    <xf numFmtId="0" fontId="15" fillId="16" borderId="0" xfId="0" applyFont="1" applyFill="1" applyAlignment="1" applyProtection="1">
      <alignment horizontal="lef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10" fillId="0" borderId="11" xfId="0" applyNumberFormat="1" applyFont="1" applyBorder="1" applyAlignment="1" applyProtection="1">
      <alignment horizontal="left" wrapText="1"/>
    </xf>
    <xf numFmtId="49" fontId="10" fillId="0" borderId="0" xfId="0" applyNumberFormat="1" applyFont="1" applyAlignment="1" applyProtection="1">
      <alignment horizontal="left" wrapText="1"/>
    </xf>
    <xf numFmtId="49" fontId="10" fillId="0" borderId="0" xfId="0" applyNumberFormat="1" applyFont="1" applyFill="1" applyAlignment="1" applyProtection="1">
      <alignment horizontal="left" wrapText="1"/>
    </xf>
    <xf numFmtId="49" fontId="15" fillId="0" borderId="0" xfId="0" applyNumberFormat="1" applyFont="1" applyAlignment="1" applyProtection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2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4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92" customWidth="1"/>
    <col min="2" max="2" width="10.42578125" style="92" customWidth="1"/>
    <col min="3" max="4" width="9.140625" style="92"/>
    <col min="5" max="5" width="8.28515625" style="92" customWidth="1"/>
    <col min="6" max="6" width="9.5703125" style="92" customWidth="1"/>
    <col min="7" max="7" width="3.28515625" style="92" customWidth="1"/>
    <col min="8" max="8" width="19.85546875" style="92" customWidth="1"/>
    <col min="9" max="9" width="7.28515625" style="92" customWidth="1"/>
    <col min="10" max="10" width="12.7109375" style="92" customWidth="1"/>
    <col min="11" max="262" width="9.140625" style="92"/>
    <col min="263" max="263" width="7.42578125" style="92" customWidth="1"/>
    <col min="264" max="264" width="20.42578125" style="92" customWidth="1"/>
    <col min="265" max="265" width="17.140625" style="92" customWidth="1"/>
    <col min="266" max="266" width="12.7109375" style="92" customWidth="1"/>
    <col min="267" max="518" width="9.140625" style="92"/>
    <col min="519" max="519" width="7.42578125" style="92" customWidth="1"/>
    <col min="520" max="520" width="20.42578125" style="92" customWidth="1"/>
    <col min="521" max="521" width="17.140625" style="92" customWidth="1"/>
    <col min="522" max="522" width="12.7109375" style="92" customWidth="1"/>
    <col min="523" max="774" width="9.140625" style="92"/>
    <col min="775" max="775" width="7.42578125" style="92" customWidth="1"/>
    <col min="776" max="776" width="20.42578125" style="92" customWidth="1"/>
    <col min="777" max="777" width="17.140625" style="92" customWidth="1"/>
    <col min="778" max="778" width="12.7109375" style="92" customWidth="1"/>
    <col min="779" max="1030" width="9.140625" style="92"/>
    <col min="1031" max="1031" width="7.42578125" style="92" customWidth="1"/>
    <col min="1032" max="1032" width="20.42578125" style="92" customWidth="1"/>
    <col min="1033" max="1033" width="17.140625" style="92" customWidth="1"/>
    <col min="1034" max="1034" width="12.7109375" style="92" customWidth="1"/>
    <col min="1035" max="1286" width="9.140625" style="92"/>
    <col min="1287" max="1287" width="7.42578125" style="92" customWidth="1"/>
    <col min="1288" max="1288" width="20.42578125" style="92" customWidth="1"/>
    <col min="1289" max="1289" width="17.140625" style="92" customWidth="1"/>
    <col min="1290" max="1290" width="12.7109375" style="92" customWidth="1"/>
    <col min="1291" max="1542" width="9.140625" style="92"/>
    <col min="1543" max="1543" width="7.42578125" style="92" customWidth="1"/>
    <col min="1544" max="1544" width="20.42578125" style="92" customWidth="1"/>
    <col min="1545" max="1545" width="17.140625" style="92" customWidth="1"/>
    <col min="1546" max="1546" width="12.7109375" style="92" customWidth="1"/>
    <col min="1547" max="1798" width="9.140625" style="92"/>
    <col min="1799" max="1799" width="7.42578125" style="92" customWidth="1"/>
    <col min="1800" max="1800" width="20.42578125" style="92" customWidth="1"/>
    <col min="1801" max="1801" width="17.140625" style="92" customWidth="1"/>
    <col min="1802" max="1802" width="12.7109375" style="92" customWidth="1"/>
    <col min="1803" max="2054" width="9.140625" style="92"/>
    <col min="2055" max="2055" width="7.42578125" style="92" customWidth="1"/>
    <col min="2056" max="2056" width="20.42578125" style="92" customWidth="1"/>
    <col min="2057" max="2057" width="17.140625" style="92" customWidth="1"/>
    <col min="2058" max="2058" width="12.7109375" style="92" customWidth="1"/>
    <col min="2059" max="2310" width="9.140625" style="92"/>
    <col min="2311" max="2311" width="7.42578125" style="92" customWidth="1"/>
    <col min="2312" max="2312" width="20.42578125" style="92" customWidth="1"/>
    <col min="2313" max="2313" width="17.140625" style="92" customWidth="1"/>
    <col min="2314" max="2314" width="12.7109375" style="92" customWidth="1"/>
    <col min="2315" max="2566" width="9.140625" style="92"/>
    <col min="2567" max="2567" width="7.42578125" style="92" customWidth="1"/>
    <col min="2568" max="2568" width="20.42578125" style="92" customWidth="1"/>
    <col min="2569" max="2569" width="17.140625" style="92" customWidth="1"/>
    <col min="2570" max="2570" width="12.7109375" style="92" customWidth="1"/>
    <col min="2571" max="2822" width="9.140625" style="92"/>
    <col min="2823" max="2823" width="7.42578125" style="92" customWidth="1"/>
    <col min="2824" max="2824" width="20.42578125" style="92" customWidth="1"/>
    <col min="2825" max="2825" width="17.140625" style="92" customWidth="1"/>
    <col min="2826" max="2826" width="12.7109375" style="92" customWidth="1"/>
    <col min="2827" max="3078" width="9.140625" style="92"/>
    <col min="3079" max="3079" width="7.42578125" style="92" customWidth="1"/>
    <col min="3080" max="3080" width="20.42578125" style="92" customWidth="1"/>
    <col min="3081" max="3081" width="17.140625" style="92" customWidth="1"/>
    <col min="3082" max="3082" width="12.7109375" style="92" customWidth="1"/>
    <col min="3083" max="3334" width="9.140625" style="92"/>
    <col min="3335" max="3335" width="7.42578125" style="92" customWidth="1"/>
    <col min="3336" max="3336" width="20.42578125" style="92" customWidth="1"/>
    <col min="3337" max="3337" width="17.140625" style="92" customWidth="1"/>
    <col min="3338" max="3338" width="12.7109375" style="92" customWidth="1"/>
    <col min="3339" max="3590" width="9.140625" style="92"/>
    <col min="3591" max="3591" width="7.42578125" style="92" customWidth="1"/>
    <col min="3592" max="3592" width="20.42578125" style="92" customWidth="1"/>
    <col min="3593" max="3593" width="17.140625" style="92" customWidth="1"/>
    <col min="3594" max="3594" width="12.7109375" style="92" customWidth="1"/>
    <col min="3595" max="3846" width="9.140625" style="92"/>
    <col min="3847" max="3847" width="7.42578125" style="92" customWidth="1"/>
    <col min="3848" max="3848" width="20.42578125" style="92" customWidth="1"/>
    <col min="3849" max="3849" width="17.140625" style="92" customWidth="1"/>
    <col min="3850" max="3850" width="12.7109375" style="92" customWidth="1"/>
    <col min="3851" max="4102" width="9.140625" style="92"/>
    <col min="4103" max="4103" width="7.42578125" style="92" customWidth="1"/>
    <col min="4104" max="4104" width="20.42578125" style="92" customWidth="1"/>
    <col min="4105" max="4105" width="17.140625" style="92" customWidth="1"/>
    <col min="4106" max="4106" width="12.7109375" style="92" customWidth="1"/>
    <col min="4107" max="4358" width="9.140625" style="92"/>
    <col min="4359" max="4359" width="7.42578125" style="92" customWidth="1"/>
    <col min="4360" max="4360" width="20.42578125" style="92" customWidth="1"/>
    <col min="4361" max="4361" width="17.140625" style="92" customWidth="1"/>
    <col min="4362" max="4362" width="12.7109375" style="92" customWidth="1"/>
    <col min="4363" max="4614" width="9.140625" style="92"/>
    <col min="4615" max="4615" width="7.42578125" style="92" customWidth="1"/>
    <col min="4616" max="4616" width="20.42578125" style="92" customWidth="1"/>
    <col min="4617" max="4617" width="17.140625" style="92" customWidth="1"/>
    <col min="4618" max="4618" width="12.7109375" style="92" customWidth="1"/>
    <col min="4619" max="4870" width="9.140625" style="92"/>
    <col min="4871" max="4871" width="7.42578125" style="92" customWidth="1"/>
    <col min="4872" max="4872" width="20.42578125" style="92" customWidth="1"/>
    <col min="4873" max="4873" width="17.140625" style="92" customWidth="1"/>
    <col min="4874" max="4874" width="12.7109375" style="92" customWidth="1"/>
    <col min="4875" max="5126" width="9.140625" style="92"/>
    <col min="5127" max="5127" width="7.42578125" style="92" customWidth="1"/>
    <col min="5128" max="5128" width="20.42578125" style="92" customWidth="1"/>
    <col min="5129" max="5129" width="17.140625" style="92" customWidth="1"/>
    <col min="5130" max="5130" width="12.7109375" style="92" customWidth="1"/>
    <col min="5131" max="5382" width="9.140625" style="92"/>
    <col min="5383" max="5383" width="7.42578125" style="92" customWidth="1"/>
    <col min="5384" max="5384" width="20.42578125" style="92" customWidth="1"/>
    <col min="5385" max="5385" width="17.140625" style="92" customWidth="1"/>
    <col min="5386" max="5386" width="12.7109375" style="92" customWidth="1"/>
    <col min="5387" max="5638" width="9.140625" style="92"/>
    <col min="5639" max="5639" width="7.42578125" style="92" customWidth="1"/>
    <col min="5640" max="5640" width="20.42578125" style="92" customWidth="1"/>
    <col min="5641" max="5641" width="17.140625" style="92" customWidth="1"/>
    <col min="5642" max="5642" width="12.7109375" style="92" customWidth="1"/>
    <col min="5643" max="5894" width="9.140625" style="92"/>
    <col min="5895" max="5895" width="7.42578125" style="92" customWidth="1"/>
    <col min="5896" max="5896" width="20.42578125" style="92" customWidth="1"/>
    <col min="5897" max="5897" width="17.140625" style="92" customWidth="1"/>
    <col min="5898" max="5898" width="12.7109375" style="92" customWidth="1"/>
    <col min="5899" max="6150" width="9.140625" style="92"/>
    <col min="6151" max="6151" width="7.42578125" style="92" customWidth="1"/>
    <col min="6152" max="6152" width="20.42578125" style="92" customWidth="1"/>
    <col min="6153" max="6153" width="17.140625" style="92" customWidth="1"/>
    <col min="6154" max="6154" width="12.7109375" style="92" customWidth="1"/>
    <col min="6155" max="6406" width="9.140625" style="92"/>
    <col min="6407" max="6407" width="7.42578125" style="92" customWidth="1"/>
    <col min="6408" max="6408" width="20.42578125" style="92" customWidth="1"/>
    <col min="6409" max="6409" width="17.140625" style="92" customWidth="1"/>
    <col min="6410" max="6410" width="12.7109375" style="92" customWidth="1"/>
    <col min="6411" max="6662" width="9.140625" style="92"/>
    <col min="6663" max="6663" width="7.42578125" style="92" customWidth="1"/>
    <col min="6664" max="6664" width="20.42578125" style="92" customWidth="1"/>
    <col min="6665" max="6665" width="17.140625" style="92" customWidth="1"/>
    <col min="6666" max="6666" width="12.7109375" style="92" customWidth="1"/>
    <col min="6667" max="6918" width="9.140625" style="92"/>
    <col min="6919" max="6919" width="7.42578125" style="92" customWidth="1"/>
    <col min="6920" max="6920" width="20.42578125" style="92" customWidth="1"/>
    <col min="6921" max="6921" width="17.140625" style="92" customWidth="1"/>
    <col min="6922" max="6922" width="12.7109375" style="92" customWidth="1"/>
    <col min="6923" max="7174" width="9.140625" style="92"/>
    <col min="7175" max="7175" width="7.42578125" style="92" customWidth="1"/>
    <col min="7176" max="7176" width="20.42578125" style="92" customWidth="1"/>
    <col min="7177" max="7177" width="17.140625" style="92" customWidth="1"/>
    <col min="7178" max="7178" width="12.7109375" style="92" customWidth="1"/>
    <col min="7179" max="7430" width="9.140625" style="92"/>
    <col min="7431" max="7431" width="7.42578125" style="92" customWidth="1"/>
    <col min="7432" max="7432" width="20.42578125" style="92" customWidth="1"/>
    <col min="7433" max="7433" width="17.140625" style="92" customWidth="1"/>
    <col min="7434" max="7434" width="12.7109375" style="92" customWidth="1"/>
    <col min="7435" max="7686" width="9.140625" style="92"/>
    <col min="7687" max="7687" width="7.42578125" style="92" customWidth="1"/>
    <col min="7688" max="7688" width="20.42578125" style="92" customWidth="1"/>
    <col min="7689" max="7689" width="17.140625" style="92" customWidth="1"/>
    <col min="7690" max="7690" width="12.7109375" style="92" customWidth="1"/>
    <col min="7691" max="7942" width="9.140625" style="92"/>
    <col min="7943" max="7943" width="7.42578125" style="92" customWidth="1"/>
    <col min="7944" max="7944" width="20.42578125" style="92" customWidth="1"/>
    <col min="7945" max="7945" width="17.140625" style="92" customWidth="1"/>
    <col min="7946" max="7946" width="12.7109375" style="92" customWidth="1"/>
    <col min="7947" max="8198" width="9.140625" style="92"/>
    <col min="8199" max="8199" width="7.42578125" style="92" customWidth="1"/>
    <col min="8200" max="8200" width="20.42578125" style="92" customWidth="1"/>
    <col min="8201" max="8201" width="17.140625" style="92" customWidth="1"/>
    <col min="8202" max="8202" width="12.7109375" style="92" customWidth="1"/>
    <col min="8203" max="8454" width="9.140625" style="92"/>
    <col min="8455" max="8455" width="7.42578125" style="92" customWidth="1"/>
    <col min="8456" max="8456" width="20.42578125" style="92" customWidth="1"/>
    <col min="8457" max="8457" width="17.140625" style="92" customWidth="1"/>
    <col min="8458" max="8458" width="12.7109375" style="92" customWidth="1"/>
    <col min="8459" max="8710" width="9.140625" style="92"/>
    <col min="8711" max="8711" width="7.42578125" style="92" customWidth="1"/>
    <col min="8712" max="8712" width="20.42578125" style="92" customWidth="1"/>
    <col min="8713" max="8713" width="17.140625" style="92" customWidth="1"/>
    <col min="8714" max="8714" width="12.7109375" style="92" customWidth="1"/>
    <col min="8715" max="8966" width="9.140625" style="92"/>
    <col min="8967" max="8967" width="7.42578125" style="92" customWidth="1"/>
    <col min="8968" max="8968" width="20.42578125" style="92" customWidth="1"/>
    <col min="8969" max="8969" width="17.140625" style="92" customWidth="1"/>
    <col min="8970" max="8970" width="12.7109375" style="92" customWidth="1"/>
    <col min="8971" max="9222" width="9.140625" style="92"/>
    <col min="9223" max="9223" width="7.42578125" style="92" customWidth="1"/>
    <col min="9224" max="9224" width="20.42578125" style="92" customWidth="1"/>
    <col min="9225" max="9225" width="17.140625" style="92" customWidth="1"/>
    <col min="9226" max="9226" width="12.7109375" style="92" customWidth="1"/>
    <col min="9227" max="9478" width="9.140625" style="92"/>
    <col min="9479" max="9479" width="7.42578125" style="92" customWidth="1"/>
    <col min="9480" max="9480" width="20.42578125" style="92" customWidth="1"/>
    <col min="9481" max="9481" width="17.140625" style="92" customWidth="1"/>
    <col min="9482" max="9482" width="12.7109375" style="92" customWidth="1"/>
    <col min="9483" max="9734" width="9.140625" style="92"/>
    <col min="9735" max="9735" width="7.42578125" style="92" customWidth="1"/>
    <col min="9736" max="9736" width="20.42578125" style="92" customWidth="1"/>
    <col min="9737" max="9737" width="17.140625" style="92" customWidth="1"/>
    <col min="9738" max="9738" width="12.7109375" style="92" customWidth="1"/>
    <col min="9739" max="9990" width="9.140625" style="92"/>
    <col min="9991" max="9991" width="7.42578125" style="92" customWidth="1"/>
    <col min="9992" max="9992" width="20.42578125" style="92" customWidth="1"/>
    <col min="9993" max="9993" width="17.140625" style="92" customWidth="1"/>
    <col min="9994" max="9994" width="12.7109375" style="92" customWidth="1"/>
    <col min="9995" max="10246" width="9.140625" style="92"/>
    <col min="10247" max="10247" width="7.42578125" style="92" customWidth="1"/>
    <col min="10248" max="10248" width="20.42578125" style="92" customWidth="1"/>
    <col min="10249" max="10249" width="17.140625" style="92" customWidth="1"/>
    <col min="10250" max="10250" width="12.7109375" style="92" customWidth="1"/>
    <col min="10251" max="10502" width="9.140625" style="92"/>
    <col min="10503" max="10503" width="7.42578125" style="92" customWidth="1"/>
    <col min="10504" max="10504" width="20.42578125" style="92" customWidth="1"/>
    <col min="10505" max="10505" width="17.140625" style="92" customWidth="1"/>
    <col min="10506" max="10506" width="12.7109375" style="92" customWidth="1"/>
    <col min="10507" max="10758" width="9.140625" style="92"/>
    <col min="10759" max="10759" width="7.42578125" style="92" customWidth="1"/>
    <col min="10760" max="10760" width="20.42578125" style="92" customWidth="1"/>
    <col min="10761" max="10761" width="17.140625" style="92" customWidth="1"/>
    <col min="10762" max="10762" width="12.7109375" style="92" customWidth="1"/>
    <col min="10763" max="11014" width="9.140625" style="92"/>
    <col min="11015" max="11015" width="7.42578125" style="92" customWidth="1"/>
    <col min="11016" max="11016" width="20.42578125" style="92" customWidth="1"/>
    <col min="11017" max="11017" width="17.140625" style="92" customWidth="1"/>
    <col min="11018" max="11018" width="12.7109375" style="92" customWidth="1"/>
    <col min="11019" max="11270" width="9.140625" style="92"/>
    <col min="11271" max="11271" width="7.42578125" style="92" customWidth="1"/>
    <col min="11272" max="11272" width="20.42578125" style="92" customWidth="1"/>
    <col min="11273" max="11273" width="17.140625" style="92" customWidth="1"/>
    <col min="11274" max="11274" width="12.7109375" style="92" customWidth="1"/>
    <col min="11275" max="11526" width="9.140625" style="92"/>
    <col min="11527" max="11527" width="7.42578125" style="92" customWidth="1"/>
    <col min="11528" max="11528" width="20.42578125" style="92" customWidth="1"/>
    <col min="11529" max="11529" width="17.140625" style="92" customWidth="1"/>
    <col min="11530" max="11530" width="12.7109375" style="92" customWidth="1"/>
    <col min="11531" max="11782" width="9.140625" style="92"/>
    <col min="11783" max="11783" width="7.42578125" style="92" customWidth="1"/>
    <col min="11784" max="11784" width="20.42578125" style="92" customWidth="1"/>
    <col min="11785" max="11785" width="17.140625" style="92" customWidth="1"/>
    <col min="11786" max="11786" width="12.7109375" style="92" customWidth="1"/>
    <col min="11787" max="12038" width="9.140625" style="92"/>
    <col min="12039" max="12039" width="7.42578125" style="92" customWidth="1"/>
    <col min="12040" max="12040" width="20.42578125" style="92" customWidth="1"/>
    <col min="12041" max="12041" width="17.140625" style="92" customWidth="1"/>
    <col min="12042" max="12042" width="12.7109375" style="92" customWidth="1"/>
    <col min="12043" max="12294" width="9.140625" style="92"/>
    <col min="12295" max="12295" width="7.42578125" style="92" customWidth="1"/>
    <col min="12296" max="12296" width="20.42578125" style="92" customWidth="1"/>
    <col min="12297" max="12297" width="17.140625" style="92" customWidth="1"/>
    <col min="12298" max="12298" width="12.7109375" style="92" customWidth="1"/>
    <col min="12299" max="12550" width="9.140625" style="92"/>
    <col min="12551" max="12551" width="7.42578125" style="92" customWidth="1"/>
    <col min="12552" max="12552" width="20.42578125" style="92" customWidth="1"/>
    <col min="12553" max="12553" width="17.140625" style="92" customWidth="1"/>
    <col min="12554" max="12554" width="12.7109375" style="92" customWidth="1"/>
    <col min="12555" max="12806" width="9.140625" style="92"/>
    <col min="12807" max="12807" width="7.42578125" style="92" customWidth="1"/>
    <col min="12808" max="12808" width="20.42578125" style="92" customWidth="1"/>
    <col min="12809" max="12809" width="17.140625" style="92" customWidth="1"/>
    <col min="12810" max="12810" width="12.7109375" style="92" customWidth="1"/>
    <col min="12811" max="13062" width="9.140625" style="92"/>
    <col min="13063" max="13063" width="7.42578125" style="92" customWidth="1"/>
    <col min="13064" max="13064" width="20.42578125" style="92" customWidth="1"/>
    <col min="13065" max="13065" width="17.140625" style="92" customWidth="1"/>
    <col min="13066" max="13066" width="12.7109375" style="92" customWidth="1"/>
    <col min="13067" max="13318" width="9.140625" style="92"/>
    <col min="13319" max="13319" width="7.42578125" style="92" customWidth="1"/>
    <col min="13320" max="13320" width="20.42578125" style="92" customWidth="1"/>
    <col min="13321" max="13321" width="17.140625" style="92" customWidth="1"/>
    <col min="13322" max="13322" width="12.7109375" style="92" customWidth="1"/>
    <col min="13323" max="13574" width="9.140625" style="92"/>
    <col min="13575" max="13575" width="7.42578125" style="92" customWidth="1"/>
    <col min="13576" max="13576" width="20.42578125" style="92" customWidth="1"/>
    <col min="13577" max="13577" width="17.140625" style="92" customWidth="1"/>
    <col min="13578" max="13578" width="12.7109375" style="92" customWidth="1"/>
    <col min="13579" max="13830" width="9.140625" style="92"/>
    <col min="13831" max="13831" width="7.42578125" style="92" customWidth="1"/>
    <col min="13832" max="13832" width="20.42578125" style="92" customWidth="1"/>
    <col min="13833" max="13833" width="17.140625" style="92" customWidth="1"/>
    <col min="13834" max="13834" width="12.7109375" style="92" customWidth="1"/>
    <col min="13835" max="14086" width="9.140625" style="92"/>
    <col min="14087" max="14087" width="7.42578125" style="92" customWidth="1"/>
    <col min="14088" max="14088" width="20.42578125" style="92" customWidth="1"/>
    <col min="14089" max="14089" width="17.140625" style="92" customWidth="1"/>
    <col min="14090" max="14090" width="12.7109375" style="92" customWidth="1"/>
    <col min="14091" max="14342" width="9.140625" style="92"/>
    <col min="14343" max="14343" width="7.42578125" style="92" customWidth="1"/>
    <col min="14344" max="14344" width="20.42578125" style="92" customWidth="1"/>
    <col min="14345" max="14345" width="17.140625" style="92" customWidth="1"/>
    <col min="14346" max="14346" width="12.7109375" style="92" customWidth="1"/>
    <col min="14347" max="14598" width="9.140625" style="92"/>
    <col min="14599" max="14599" width="7.42578125" style="92" customWidth="1"/>
    <col min="14600" max="14600" width="20.42578125" style="92" customWidth="1"/>
    <col min="14601" max="14601" width="17.140625" style="92" customWidth="1"/>
    <col min="14602" max="14602" width="12.7109375" style="92" customWidth="1"/>
    <col min="14603" max="14854" width="9.140625" style="92"/>
    <col min="14855" max="14855" width="7.42578125" style="92" customWidth="1"/>
    <col min="14856" max="14856" width="20.42578125" style="92" customWidth="1"/>
    <col min="14857" max="14857" width="17.140625" style="92" customWidth="1"/>
    <col min="14858" max="14858" width="12.7109375" style="92" customWidth="1"/>
    <col min="14859" max="15110" width="9.140625" style="92"/>
    <col min="15111" max="15111" width="7.42578125" style="92" customWidth="1"/>
    <col min="15112" max="15112" width="20.42578125" style="92" customWidth="1"/>
    <col min="15113" max="15113" width="17.140625" style="92" customWidth="1"/>
    <col min="15114" max="15114" width="12.7109375" style="92" customWidth="1"/>
    <col min="15115" max="15366" width="9.140625" style="92"/>
    <col min="15367" max="15367" width="7.42578125" style="92" customWidth="1"/>
    <col min="15368" max="15368" width="20.42578125" style="92" customWidth="1"/>
    <col min="15369" max="15369" width="17.140625" style="92" customWidth="1"/>
    <col min="15370" max="15370" width="12.7109375" style="92" customWidth="1"/>
    <col min="15371" max="15622" width="9.140625" style="92"/>
    <col min="15623" max="15623" width="7.42578125" style="92" customWidth="1"/>
    <col min="15624" max="15624" width="20.42578125" style="92" customWidth="1"/>
    <col min="15625" max="15625" width="17.140625" style="92" customWidth="1"/>
    <col min="15626" max="15626" width="12.7109375" style="92" customWidth="1"/>
    <col min="15627" max="15878" width="9.140625" style="92"/>
    <col min="15879" max="15879" width="7.42578125" style="92" customWidth="1"/>
    <col min="15880" max="15880" width="20.42578125" style="92" customWidth="1"/>
    <col min="15881" max="15881" width="17.140625" style="92" customWidth="1"/>
    <col min="15882" max="15882" width="12.7109375" style="92" customWidth="1"/>
    <col min="15883" max="16134" width="9.140625" style="92"/>
    <col min="16135" max="16135" width="7.42578125" style="92" customWidth="1"/>
    <col min="16136" max="16136" width="20.42578125" style="92" customWidth="1"/>
    <col min="16137" max="16137" width="17.140625" style="92" customWidth="1"/>
    <col min="16138" max="16138" width="12.7109375" style="92" customWidth="1"/>
    <col min="16139" max="16384" width="9.140625" style="92"/>
  </cols>
  <sheetData>
    <row r="4" spans="3:9" x14ac:dyDescent="0.3">
      <c r="C4" s="91" t="s">
        <v>229</v>
      </c>
      <c r="E4" s="138" t="s">
        <v>276</v>
      </c>
      <c r="F4" s="138"/>
      <c r="G4" s="138"/>
      <c r="H4" s="138"/>
    </row>
    <row r="6" spans="3:9" ht="51.75" customHeight="1" x14ac:dyDescent="0.3">
      <c r="C6" s="93" t="s">
        <v>227</v>
      </c>
      <c r="D6" s="94"/>
      <c r="E6" s="139" t="s">
        <v>277</v>
      </c>
      <c r="F6" s="139"/>
      <c r="G6" s="139"/>
      <c r="H6" s="139"/>
      <c r="I6" s="94"/>
    </row>
    <row r="7" spans="3:9" x14ac:dyDescent="0.3">
      <c r="D7" s="95"/>
      <c r="E7" s="95"/>
      <c r="F7" s="95"/>
      <c r="G7" s="95"/>
      <c r="H7" s="95"/>
      <c r="I7" s="95"/>
    </row>
    <row r="8" spans="3:9" x14ac:dyDescent="0.3">
      <c r="C8" s="91" t="s">
        <v>228</v>
      </c>
      <c r="E8" s="140" t="s">
        <v>278</v>
      </c>
      <c r="F8" s="140"/>
      <c r="G8" s="140"/>
      <c r="H8" s="140"/>
    </row>
    <row r="9" spans="3:9" ht="17.25" x14ac:dyDescent="0.3">
      <c r="E9" s="96"/>
    </row>
    <row r="11" spans="3:9" x14ac:dyDescent="0.3">
      <c r="C11" s="97" t="s">
        <v>52</v>
      </c>
    </row>
    <row r="14" spans="3:9" x14ac:dyDescent="0.3">
      <c r="C14" s="98" t="s">
        <v>204</v>
      </c>
      <c r="D14" s="99"/>
      <c r="E14" s="99"/>
      <c r="F14" s="99"/>
      <c r="G14" s="99"/>
      <c r="H14" s="100" t="str">
        <f>'1. PREDDELA'!F57</f>
        <v/>
      </c>
    </row>
    <row r="15" spans="3:9" x14ac:dyDescent="0.3">
      <c r="H15" s="101"/>
    </row>
    <row r="16" spans="3:9" x14ac:dyDescent="0.3">
      <c r="C16" s="98" t="s">
        <v>205</v>
      </c>
      <c r="D16" s="99"/>
      <c r="E16" s="99"/>
      <c r="F16" s="99"/>
      <c r="G16" s="99"/>
      <c r="H16" s="100" t="str">
        <f>'2. ZEMELJSKA DELA'!F48</f>
        <v/>
      </c>
    </row>
    <row r="17" spans="3:8" x14ac:dyDescent="0.3">
      <c r="H17" s="101"/>
    </row>
    <row r="18" spans="3:8" x14ac:dyDescent="0.3">
      <c r="C18" s="98" t="s">
        <v>206</v>
      </c>
      <c r="D18" s="99"/>
      <c r="E18" s="99"/>
      <c r="F18" s="99"/>
      <c r="G18" s="99"/>
      <c r="H18" s="100" t="str">
        <f>'3. VOZIŠČNE KONSTRUKCIJE'!F54</f>
        <v/>
      </c>
    </row>
    <row r="19" spans="3:8" x14ac:dyDescent="0.3">
      <c r="H19" s="101"/>
    </row>
    <row r="20" spans="3:8" x14ac:dyDescent="0.3">
      <c r="C20" s="98" t="s">
        <v>207</v>
      </c>
      <c r="D20" s="99"/>
      <c r="E20" s="99"/>
      <c r="F20" s="99"/>
      <c r="G20" s="99"/>
      <c r="H20" s="100" t="str">
        <f>'4. ODVODNJAVANJE'!F35</f>
        <v/>
      </c>
    </row>
    <row r="21" spans="3:8" x14ac:dyDescent="0.3">
      <c r="H21" s="101"/>
    </row>
    <row r="22" spans="3:8" x14ac:dyDescent="0.3">
      <c r="C22" s="98" t="s">
        <v>208</v>
      </c>
      <c r="D22" s="99"/>
      <c r="E22" s="99"/>
      <c r="F22" s="99"/>
      <c r="G22" s="99"/>
      <c r="H22" s="100" t="str">
        <f>'5. GRADBENA IN OBRTNIŠKA DELA'!F26</f>
        <v/>
      </c>
    </row>
    <row r="23" spans="3:8" x14ac:dyDescent="0.3">
      <c r="H23" s="101"/>
    </row>
    <row r="24" spans="3:8" x14ac:dyDescent="0.3">
      <c r="C24" s="98" t="s">
        <v>209</v>
      </c>
      <c r="D24" s="99"/>
      <c r="E24" s="99"/>
      <c r="F24" s="99"/>
      <c r="G24" s="99"/>
      <c r="H24" s="100" t="str">
        <f>'6. OPREMA CEST'!F38</f>
        <v/>
      </c>
    </row>
    <row r="25" spans="3:8" x14ac:dyDescent="0.3">
      <c r="H25" s="101"/>
    </row>
    <row r="26" spans="3:8" x14ac:dyDescent="0.3">
      <c r="C26" s="98" t="s">
        <v>210</v>
      </c>
      <c r="D26" s="99"/>
      <c r="E26" s="99"/>
      <c r="F26" s="99"/>
      <c r="G26" s="99"/>
      <c r="H26" s="100" t="str">
        <f>'7. TUJE STORITVE'!F12</f>
        <v/>
      </c>
    </row>
    <row r="27" spans="3:8" x14ac:dyDescent="0.3">
      <c r="H27" s="101"/>
    </row>
    <row r="28" spans="3:8" x14ac:dyDescent="0.3">
      <c r="C28" s="98" t="s">
        <v>211</v>
      </c>
      <c r="D28" s="99"/>
      <c r="E28" s="99"/>
      <c r="F28" s="99"/>
      <c r="G28" s="99"/>
      <c r="H28" s="100" t="str">
        <f>IF(SUM(H14:H26)=0,"",SUM(H14:H26)*0.05)</f>
        <v/>
      </c>
    </row>
    <row r="31" spans="3:8" x14ac:dyDescent="0.3">
      <c r="F31" s="102" t="s">
        <v>53</v>
      </c>
      <c r="H31" s="101" t="str">
        <f>IF(SUM(H14:H28)=0,"",SUM(H14:H28))</f>
        <v/>
      </c>
    </row>
    <row r="32" spans="3:8" x14ac:dyDescent="0.3">
      <c r="F32" s="102"/>
      <c r="H32" s="101"/>
    </row>
    <row r="33" spans="2:8" x14ac:dyDescent="0.3">
      <c r="F33" s="102" t="s">
        <v>220</v>
      </c>
      <c r="H33" s="101" t="str">
        <f>IF(SUM(H31)=0,"",SUM(0.22*H31))</f>
        <v/>
      </c>
    </row>
    <row r="34" spans="2:8" x14ac:dyDescent="0.3">
      <c r="H34" s="101"/>
    </row>
    <row r="35" spans="2:8" x14ac:dyDescent="0.3">
      <c r="H35" s="103"/>
    </row>
    <row r="36" spans="2:8" x14ac:dyDescent="0.3">
      <c r="C36" s="104" t="s">
        <v>54</v>
      </c>
      <c r="D36" s="99"/>
      <c r="E36" s="99"/>
      <c r="F36" s="99"/>
      <c r="G36" s="99"/>
      <c r="H36" s="105" t="str">
        <f>IF(SUM(H31:H33)=0,"",SUM(H31:H33))</f>
        <v/>
      </c>
    </row>
    <row r="41" spans="2:8" ht="17.25" hidden="1" thickBot="1" x14ac:dyDescent="0.35">
      <c r="B41" s="137" t="s">
        <v>55</v>
      </c>
      <c r="C41" s="137"/>
      <c r="D41" s="137"/>
      <c r="E41" s="137"/>
      <c r="F41" s="106">
        <v>1</v>
      </c>
    </row>
  </sheetData>
  <sheetProtection algorithmName="SHA-512" hashValue="EwrRdyg5WjQalo9qbaUXQQLQcJPtj7nowcJo0Ifgfyi/RBh4VaQXEoiHxhquBW0Lnu+XyTMRcJq8HP59D3Tqvg==" saltValue="kD18IMeqaK/zkdsuPFQsKA==" spinCount="100000" sheet="1" objects="1" scenario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57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65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46</v>
      </c>
      <c r="C2" s="8" t="s">
        <v>51</v>
      </c>
      <c r="D2" s="8" t="s">
        <v>47</v>
      </c>
      <c r="E2" s="9" t="s">
        <v>48</v>
      </c>
      <c r="F2" s="9" t="s">
        <v>49</v>
      </c>
      <c r="G2" s="9" t="s">
        <v>50</v>
      </c>
      <c r="I2" s="66" t="s">
        <v>56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67"/>
    </row>
    <row r="4" spans="1:9" ht="15.75" x14ac:dyDescent="0.2">
      <c r="B4" s="143" t="s">
        <v>0</v>
      </c>
      <c r="C4" s="143"/>
      <c r="D4" s="143"/>
      <c r="E4" s="143"/>
      <c r="F4" s="143"/>
      <c r="G4" s="143"/>
    </row>
    <row r="5" spans="1:9" ht="12.75" customHeight="1" x14ac:dyDescent="0.2">
      <c r="B5" s="90"/>
      <c r="C5" s="90"/>
      <c r="D5" s="90"/>
      <c r="E5" s="15" t="str">
        <f>IF(SUM(E8:E11)=0,0,"")</f>
        <v/>
      </c>
      <c r="F5" s="15"/>
      <c r="G5" s="15"/>
    </row>
    <row r="6" spans="1:9" ht="21.2" customHeight="1" x14ac:dyDescent="0.3">
      <c r="B6" s="144" t="s">
        <v>38</v>
      </c>
      <c r="C6" s="145"/>
      <c r="D6" s="145"/>
      <c r="E6" s="16" t="str">
        <f>IF(SUM(E8:E11)=0,0,"")</f>
        <v/>
      </c>
      <c r="F6" s="16"/>
      <c r="G6" s="17"/>
    </row>
    <row r="7" spans="1:9" x14ac:dyDescent="0.2">
      <c r="E7" s="15" t="str">
        <f>IF(SUM(E8:E11)=0,0,"")</f>
        <v/>
      </c>
      <c r="F7" s="15"/>
      <c r="G7" s="15"/>
    </row>
    <row r="8" spans="1:9" ht="38.25" x14ac:dyDescent="0.2">
      <c r="B8" s="18" t="s">
        <v>2</v>
      </c>
      <c r="C8" s="19" t="s">
        <v>1</v>
      </c>
      <c r="D8" s="20" t="s">
        <v>244</v>
      </c>
      <c r="E8" s="83">
        <v>0.23</v>
      </c>
      <c r="F8" s="107"/>
      <c r="G8" s="21" t="str">
        <f t="shared" ref="G8:G11" si="0">IF(F8="","",E8*F8)</f>
        <v/>
      </c>
      <c r="I8" s="69">
        <v>1410</v>
      </c>
    </row>
    <row r="9" spans="1:9" ht="38.25" x14ac:dyDescent="0.2">
      <c r="B9" s="18" t="s">
        <v>3</v>
      </c>
      <c r="C9" s="19" t="s">
        <v>1</v>
      </c>
      <c r="D9" s="20" t="s">
        <v>245</v>
      </c>
      <c r="E9" s="83">
        <f>+E8</f>
        <v>0.23</v>
      </c>
      <c r="F9" s="107"/>
      <c r="G9" s="21" t="str">
        <f t="shared" si="0"/>
        <v/>
      </c>
      <c r="I9" s="68">
        <v>0</v>
      </c>
    </row>
    <row r="10" spans="1:9" ht="38.25" x14ac:dyDescent="0.2">
      <c r="B10" s="18" t="s">
        <v>5</v>
      </c>
      <c r="C10" s="19" t="s">
        <v>4</v>
      </c>
      <c r="D10" s="20" t="s">
        <v>246</v>
      </c>
      <c r="E10" s="83">
        <v>24</v>
      </c>
      <c r="F10" s="107"/>
      <c r="G10" s="21" t="str">
        <f t="shared" si="0"/>
        <v/>
      </c>
      <c r="I10" s="69">
        <v>23</v>
      </c>
    </row>
    <row r="11" spans="1:9" ht="38.25" x14ac:dyDescent="0.2">
      <c r="B11" s="18" t="s">
        <v>6</v>
      </c>
      <c r="C11" s="19" t="s">
        <v>4</v>
      </c>
      <c r="D11" s="20" t="s">
        <v>267</v>
      </c>
      <c r="E11" s="83">
        <v>180</v>
      </c>
      <c r="F11" s="107"/>
      <c r="G11" s="21" t="str">
        <f t="shared" si="0"/>
        <v/>
      </c>
      <c r="I11" s="68">
        <v>0</v>
      </c>
    </row>
    <row r="12" spans="1:9" x14ac:dyDescent="0.2">
      <c r="E12" s="22" t="str">
        <f>IF(AND(E14=0,E26=0,E34=0,E46=0),0,"")</f>
        <v/>
      </c>
      <c r="G12" s="22"/>
    </row>
    <row r="13" spans="1:9" ht="21.2" customHeight="1" x14ac:dyDescent="0.3">
      <c r="B13" s="144" t="s">
        <v>39</v>
      </c>
      <c r="C13" s="145"/>
      <c r="D13" s="145"/>
      <c r="E13" s="16" t="str">
        <f>IF(AND(E14=0,E26=0,E34=0,E46=0),0,"")</f>
        <v/>
      </c>
      <c r="F13" s="16"/>
      <c r="G13" s="17"/>
    </row>
    <row r="14" spans="1:9" ht="21.2" customHeight="1" x14ac:dyDescent="0.25">
      <c r="B14" s="146" t="s">
        <v>40</v>
      </c>
      <c r="C14" s="146"/>
      <c r="D14" s="146"/>
      <c r="E14" s="23" t="str">
        <f>IF(SUM(E16:E24)=0,0,"")</f>
        <v/>
      </c>
      <c r="F14" s="23"/>
      <c r="G14" s="23"/>
    </row>
    <row r="15" spans="1:9" x14ac:dyDescent="0.2">
      <c r="E15" s="15" t="str">
        <f>IF(SUM(E16:E24)=0,0,"")</f>
        <v/>
      </c>
      <c r="F15" s="15"/>
      <c r="G15" s="15"/>
    </row>
    <row r="16" spans="1:9" ht="38.25" x14ac:dyDescent="0.2">
      <c r="B16" s="18" t="s">
        <v>8</v>
      </c>
      <c r="C16" s="19" t="s">
        <v>9</v>
      </c>
      <c r="D16" s="20" t="s">
        <v>57</v>
      </c>
      <c r="E16" s="83">
        <v>30</v>
      </c>
      <c r="F16" s="107"/>
      <c r="G16" s="21" t="str">
        <f>IF(F16="","",E16*F16)</f>
        <v/>
      </c>
      <c r="I16" s="70">
        <v>16</v>
      </c>
    </row>
    <row r="17" spans="2:9" ht="38.25" x14ac:dyDescent="0.2">
      <c r="B17" s="18" t="s">
        <v>10</v>
      </c>
      <c r="C17" s="19" t="s">
        <v>9</v>
      </c>
      <c r="D17" s="20" t="s">
        <v>58</v>
      </c>
      <c r="E17" s="83">
        <v>150</v>
      </c>
      <c r="F17" s="107"/>
      <c r="G17" s="21" t="str">
        <f t="shared" ref="G17:G23" si="1">IF(F17="","",E17*F17)</f>
        <v/>
      </c>
      <c r="I17" s="70">
        <v>14</v>
      </c>
    </row>
    <row r="18" spans="2:9" ht="38.25" x14ac:dyDescent="0.2">
      <c r="B18" s="18" t="s">
        <v>11</v>
      </c>
      <c r="C18" s="19" t="s">
        <v>9</v>
      </c>
      <c r="D18" s="20" t="s">
        <v>59</v>
      </c>
      <c r="E18" s="83">
        <v>300</v>
      </c>
      <c r="F18" s="107"/>
      <c r="G18" s="21" t="str">
        <f t="shared" si="1"/>
        <v/>
      </c>
      <c r="I18" s="71">
        <v>19</v>
      </c>
    </row>
    <row r="19" spans="2:9" ht="38.25" x14ac:dyDescent="0.2">
      <c r="B19" s="18" t="s">
        <v>12</v>
      </c>
      <c r="C19" s="19" t="s">
        <v>9</v>
      </c>
      <c r="D19" s="20" t="s">
        <v>60</v>
      </c>
      <c r="E19" s="83">
        <v>1900</v>
      </c>
      <c r="F19" s="107"/>
      <c r="G19" s="21" t="str">
        <f t="shared" si="1"/>
        <v/>
      </c>
      <c r="I19" s="71">
        <v>17</v>
      </c>
    </row>
    <row r="20" spans="2:9" ht="38.25" x14ac:dyDescent="0.2">
      <c r="B20" s="18" t="s">
        <v>13</v>
      </c>
      <c r="C20" s="19" t="s">
        <v>4</v>
      </c>
      <c r="D20" s="20" t="s">
        <v>61</v>
      </c>
      <c r="E20" s="83">
        <v>12</v>
      </c>
      <c r="F20" s="107"/>
      <c r="G20" s="21" t="str">
        <f t="shared" si="1"/>
        <v/>
      </c>
      <c r="I20" s="70">
        <v>45</v>
      </c>
    </row>
    <row r="21" spans="2:9" ht="38.25" x14ac:dyDescent="0.2">
      <c r="B21" s="18" t="s">
        <v>14</v>
      </c>
      <c r="C21" s="19" t="s">
        <v>4</v>
      </c>
      <c r="D21" s="20" t="s">
        <v>62</v>
      </c>
      <c r="E21" s="83">
        <v>8</v>
      </c>
      <c r="F21" s="107"/>
      <c r="G21" s="21" t="str">
        <f t="shared" si="1"/>
        <v/>
      </c>
      <c r="I21" s="72">
        <v>63</v>
      </c>
    </row>
    <row r="22" spans="2:9" ht="38.25" x14ac:dyDescent="0.2">
      <c r="B22" s="18" t="s">
        <v>15</v>
      </c>
      <c r="C22" s="19" t="s">
        <v>4</v>
      </c>
      <c r="D22" s="20" t="s">
        <v>253</v>
      </c>
      <c r="E22" s="83">
        <f>E20</f>
        <v>12</v>
      </c>
      <c r="F22" s="107"/>
      <c r="G22" s="21" t="str">
        <f t="shared" si="1"/>
        <v/>
      </c>
      <c r="I22" s="73">
        <v>60</v>
      </c>
    </row>
    <row r="23" spans="2:9" ht="38.25" x14ac:dyDescent="0.2">
      <c r="B23" s="18" t="s">
        <v>16</v>
      </c>
      <c r="C23" s="19" t="s">
        <v>4</v>
      </c>
      <c r="D23" s="20" t="s">
        <v>63</v>
      </c>
      <c r="E23" s="83">
        <f>E21</f>
        <v>8</v>
      </c>
      <c r="F23" s="107"/>
      <c r="G23" s="21" t="str">
        <f t="shared" si="1"/>
        <v/>
      </c>
      <c r="I23" s="74">
        <v>72</v>
      </c>
    </row>
    <row r="24" spans="2:9" ht="25.5" x14ac:dyDescent="0.2">
      <c r="B24" s="18" t="s">
        <v>17</v>
      </c>
      <c r="C24" s="19" t="s">
        <v>7</v>
      </c>
      <c r="D24" s="20" t="s">
        <v>242</v>
      </c>
      <c r="E24" s="83">
        <v>20</v>
      </c>
      <c r="F24" s="107"/>
      <c r="G24" s="21" t="str">
        <f t="shared" ref="G24" si="2">IF(F24="","",E24*F24)</f>
        <v/>
      </c>
      <c r="I24" s="75">
        <v>1</v>
      </c>
    </row>
    <row r="25" spans="2:9" x14ac:dyDescent="0.2">
      <c r="E25" s="15" t="str">
        <f>IF(SUM(E28:E32)=0,0,"")</f>
        <v/>
      </c>
      <c r="F25" s="15"/>
      <c r="G25" s="15"/>
    </row>
    <row r="26" spans="2:9" ht="21.75" customHeight="1" x14ac:dyDescent="0.25">
      <c r="B26" s="147" t="s">
        <v>41</v>
      </c>
      <c r="C26" s="147"/>
      <c r="D26" s="147"/>
      <c r="E26" s="76" t="str">
        <f>IF(SUM(E28:E32)=0,0,"")</f>
        <v/>
      </c>
      <c r="F26" s="76"/>
      <c r="G26" s="76"/>
    </row>
    <row r="27" spans="2:9" x14ac:dyDescent="0.2">
      <c r="E27" s="15" t="str">
        <f>IF(SUM(E28:E32)=0,0,"")</f>
        <v/>
      </c>
      <c r="F27" s="15"/>
      <c r="G27" s="15"/>
    </row>
    <row r="28" spans="2:9" ht="25.5" x14ac:dyDescent="0.2">
      <c r="B28" s="18" t="s">
        <v>18</v>
      </c>
      <c r="C28" s="19" t="s">
        <v>4</v>
      </c>
      <c r="D28" s="20" t="s">
        <v>280</v>
      </c>
      <c r="E28" s="83">
        <f>3+3+1</f>
        <v>7</v>
      </c>
      <c r="F28" s="107"/>
      <c r="G28" s="21" t="str">
        <f>IF(F28="","",E28*F28)</f>
        <v/>
      </c>
      <c r="I28" s="77">
        <v>16</v>
      </c>
    </row>
    <row r="29" spans="2:9" ht="25.5" x14ac:dyDescent="0.2">
      <c r="B29" s="18" t="s">
        <v>19</v>
      </c>
      <c r="C29" s="19" t="s">
        <v>4</v>
      </c>
      <c r="D29" s="20" t="s">
        <v>281</v>
      </c>
      <c r="E29" s="83">
        <v>1</v>
      </c>
      <c r="F29" s="107"/>
      <c r="G29" s="21" t="str">
        <f t="shared" ref="G29:G32" si="3">IF(F29="","",E29*F29)</f>
        <v/>
      </c>
      <c r="I29" s="79">
        <v>22</v>
      </c>
    </row>
    <row r="30" spans="2:9" ht="26.25" x14ac:dyDescent="0.2">
      <c r="B30" s="18" t="s">
        <v>22</v>
      </c>
      <c r="C30" s="19" t="s">
        <v>279</v>
      </c>
      <c r="D30" s="20" t="s">
        <v>248</v>
      </c>
      <c r="E30" s="83">
        <f>1.8*75</f>
        <v>135</v>
      </c>
      <c r="F30" s="107"/>
      <c r="G30" s="21" t="str">
        <f t="shared" si="3"/>
        <v/>
      </c>
      <c r="I30" s="81">
        <v>7</v>
      </c>
    </row>
    <row r="31" spans="2:9" ht="25.5" x14ac:dyDescent="0.2">
      <c r="B31" s="18" t="s">
        <v>24</v>
      </c>
      <c r="C31" s="19" t="s">
        <v>20</v>
      </c>
      <c r="D31" s="20" t="s">
        <v>247</v>
      </c>
      <c r="E31" s="83">
        <v>35</v>
      </c>
      <c r="F31" s="107"/>
      <c r="G31" s="21" t="str">
        <f t="shared" ref="G31" si="4">IF(F31="","",E31*F31)</f>
        <v/>
      </c>
      <c r="I31" s="80">
        <v>0</v>
      </c>
    </row>
    <row r="32" spans="2:9" ht="25.5" x14ac:dyDescent="0.2">
      <c r="B32" s="18" t="s">
        <v>222</v>
      </c>
      <c r="C32" s="19" t="s">
        <v>4</v>
      </c>
      <c r="D32" s="20" t="s">
        <v>223</v>
      </c>
      <c r="E32" s="83">
        <v>3</v>
      </c>
      <c r="F32" s="107"/>
      <c r="G32" s="21" t="str">
        <f t="shared" si="3"/>
        <v/>
      </c>
      <c r="I32" s="80">
        <v>0</v>
      </c>
    </row>
    <row r="33" spans="2:9" x14ac:dyDescent="0.2">
      <c r="E33" s="24" t="str">
        <f>IF(SUM(E36:E44)=0,0,"")</f>
        <v/>
      </c>
      <c r="F33" s="24"/>
      <c r="G33" s="24"/>
    </row>
    <row r="34" spans="2:9" ht="21.2" customHeight="1" x14ac:dyDescent="0.2">
      <c r="B34" s="147" t="s">
        <v>42</v>
      </c>
      <c r="C34" s="147"/>
      <c r="D34" s="147"/>
      <c r="E34" s="25" t="str">
        <f>IF(SUM(E36:E44)=0,0,"")</f>
        <v/>
      </c>
      <c r="F34" s="25"/>
      <c r="G34" s="25"/>
    </row>
    <row r="35" spans="2:9" x14ac:dyDescent="0.2">
      <c r="E35" s="24" t="str">
        <f>IF(SUM(E36:E44)=0,0,"")</f>
        <v/>
      </c>
      <c r="F35" s="24"/>
      <c r="G35" s="24"/>
    </row>
    <row r="36" spans="2:9" ht="38.25" x14ac:dyDescent="0.2">
      <c r="B36" s="18" t="s">
        <v>25</v>
      </c>
      <c r="C36" s="19" t="s">
        <v>23</v>
      </c>
      <c r="D36" s="20" t="s">
        <v>64</v>
      </c>
      <c r="E36" s="83">
        <f>50*0.2</f>
        <v>10</v>
      </c>
      <c r="F36" s="107"/>
      <c r="G36" s="21" t="str">
        <f>IF(F36="","",E36*F36)</f>
        <v/>
      </c>
      <c r="I36" s="70">
        <v>22</v>
      </c>
    </row>
    <row r="37" spans="2:9" ht="38.25" x14ac:dyDescent="0.2">
      <c r="B37" s="18" t="s">
        <v>26</v>
      </c>
      <c r="C37" s="19" t="s">
        <v>9</v>
      </c>
      <c r="D37" s="20" t="s">
        <v>251</v>
      </c>
      <c r="E37" s="83">
        <v>70</v>
      </c>
      <c r="F37" s="107"/>
      <c r="G37" s="21" t="str">
        <f t="shared" ref="G37:G44" si="5">IF(F37="","",E37*F37)</f>
        <v/>
      </c>
      <c r="I37" s="72">
        <v>3</v>
      </c>
    </row>
    <row r="38" spans="2:9" ht="38.25" x14ac:dyDescent="0.2">
      <c r="B38" s="18" t="s">
        <v>27</v>
      </c>
      <c r="C38" s="19" t="s">
        <v>9</v>
      </c>
      <c r="D38" s="20" t="s">
        <v>252</v>
      </c>
      <c r="E38" s="89">
        <v>1500</v>
      </c>
      <c r="F38" s="107"/>
      <c r="G38" s="21" t="str">
        <f t="shared" si="5"/>
        <v/>
      </c>
      <c r="I38" s="70">
        <v>7</v>
      </c>
    </row>
    <row r="39" spans="2:9" ht="25.5" x14ac:dyDescent="0.2">
      <c r="B39" s="18" t="s">
        <v>28</v>
      </c>
      <c r="C39" s="19" t="s">
        <v>9</v>
      </c>
      <c r="D39" s="20" t="s">
        <v>230</v>
      </c>
      <c r="E39" s="83">
        <f>E41*0.25</f>
        <v>1.25</v>
      </c>
      <c r="F39" s="107"/>
      <c r="G39" s="21" t="str">
        <f t="shared" si="5"/>
        <v/>
      </c>
      <c r="I39" s="82">
        <v>0</v>
      </c>
    </row>
    <row r="40" spans="2:9" ht="25.5" x14ac:dyDescent="0.2">
      <c r="B40" s="18" t="s">
        <v>29</v>
      </c>
      <c r="C40" s="19" t="s">
        <v>9</v>
      </c>
      <c r="D40" s="20" t="s">
        <v>65</v>
      </c>
      <c r="E40" s="83">
        <f>E42*0.5</f>
        <v>33.5</v>
      </c>
      <c r="F40" s="107"/>
      <c r="G40" s="21" t="str">
        <f t="shared" si="5"/>
        <v/>
      </c>
      <c r="I40" s="82">
        <v>0</v>
      </c>
    </row>
    <row r="41" spans="2:9" ht="25.5" x14ac:dyDescent="0.2">
      <c r="B41" s="18" t="s">
        <v>30</v>
      </c>
      <c r="C41" s="19" t="s">
        <v>20</v>
      </c>
      <c r="D41" s="20" t="s">
        <v>66</v>
      </c>
      <c r="E41" s="83">
        <v>5</v>
      </c>
      <c r="F41" s="107"/>
      <c r="G41" s="21" t="str">
        <f t="shared" si="5"/>
        <v/>
      </c>
      <c r="I41" s="70">
        <v>1</v>
      </c>
    </row>
    <row r="42" spans="2:9" ht="25.5" x14ac:dyDescent="0.2">
      <c r="B42" s="18" t="s">
        <v>31</v>
      </c>
      <c r="C42" s="19" t="s">
        <v>20</v>
      </c>
      <c r="D42" s="20" t="s">
        <v>282</v>
      </c>
      <c r="E42" s="89">
        <f>33+34</f>
        <v>67</v>
      </c>
      <c r="F42" s="107"/>
      <c r="G42" s="21" t="str">
        <f t="shared" si="5"/>
        <v/>
      </c>
      <c r="I42" s="70">
        <v>1.2</v>
      </c>
    </row>
    <row r="43" spans="2:9" ht="25.5" x14ac:dyDescent="0.2">
      <c r="B43" s="18" t="s">
        <v>32</v>
      </c>
      <c r="C43" s="19" t="s">
        <v>20</v>
      </c>
      <c r="D43" s="20" t="s">
        <v>67</v>
      </c>
      <c r="E43" s="83">
        <f>15+35+5</f>
        <v>55</v>
      </c>
      <c r="F43" s="107"/>
      <c r="G43" s="21" t="str">
        <f t="shared" si="5"/>
        <v/>
      </c>
      <c r="I43" s="71">
        <v>14</v>
      </c>
    </row>
    <row r="44" spans="2:9" ht="25.5" x14ac:dyDescent="0.2">
      <c r="B44" s="18" t="s">
        <v>33</v>
      </c>
      <c r="C44" s="19" t="s">
        <v>20</v>
      </c>
      <c r="D44" s="20" t="s">
        <v>243</v>
      </c>
      <c r="E44" s="89">
        <v>5</v>
      </c>
      <c r="F44" s="107"/>
      <c r="G44" s="21" t="str">
        <f t="shared" si="5"/>
        <v/>
      </c>
      <c r="I44" s="71">
        <v>14</v>
      </c>
    </row>
    <row r="45" spans="2:9" x14ac:dyDescent="0.2">
      <c r="E45" s="24" t="str">
        <f>IF(SUM(E48:E49)=0,0,"")</f>
        <v/>
      </c>
      <c r="F45" s="24"/>
      <c r="G45" s="24"/>
    </row>
    <row r="46" spans="2:9" ht="21.2" customHeight="1" x14ac:dyDescent="0.2">
      <c r="B46" s="147" t="s">
        <v>43</v>
      </c>
      <c r="C46" s="147"/>
      <c r="D46" s="147"/>
      <c r="E46" s="25" t="str">
        <f>IF(SUM(E48:E49)=0,0,"")</f>
        <v/>
      </c>
      <c r="F46" s="25"/>
      <c r="G46" s="25"/>
    </row>
    <row r="47" spans="2:9" x14ac:dyDescent="0.2">
      <c r="E47" s="24" t="str">
        <f>IF(SUM(E48:E49)=0,0,"")</f>
        <v/>
      </c>
      <c r="F47" s="24"/>
      <c r="G47" s="24"/>
    </row>
    <row r="48" spans="2:9" ht="38.25" x14ac:dyDescent="0.2">
      <c r="B48" s="18" t="s">
        <v>34</v>
      </c>
      <c r="C48" s="19" t="s">
        <v>20</v>
      </c>
      <c r="D48" s="20" t="s">
        <v>68</v>
      </c>
      <c r="E48" s="83">
        <f>E49*10</f>
        <v>30</v>
      </c>
      <c r="F48" s="107"/>
      <c r="G48" s="21" t="str">
        <f t="shared" ref="G48:G49" si="6">IF(F48="","",E48*F48)</f>
        <v/>
      </c>
      <c r="I48" s="84">
        <v>15.4</v>
      </c>
    </row>
    <row r="49" spans="2:9" ht="38.25" x14ac:dyDescent="0.2">
      <c r="B49" s="18" t="s">
        <v>35</v>
      </c>
      <c r="C49" s="19" t="s">
        <v>20</v>
      </c>
      <c r="D49" s="20" t="s">
        <v>69</v>
      </c>
      <c r="E49" s="83">
        <v>3</v>
      </c>
      <c r="F49" s="107"/>
      <c r="G49" s="21" t="str">
        <f t="shared" si="6"/>
        <v/>
      </c>
      <c r="I49" s="78">
        <v>14</v>
      </c>
    </row>
    <row r="50" spans="2:9" x14ac:dyDescent="0.2">
      <c r="E50" s="22"/>
      <c r="F50" s="22"/>
      <c r="G50" s="22"/>
    </row>
    <row r="51" spans="2:9" ht="21.2" customHeight="1" x14ac:dyDescent="0.3">
      <c r="B51" s="144" t="s">
        <v>44</v>
      </c>
      <c r="C51" s="145"/>
      <c r="D51" s="145"/>
      <c r="E51" s="16"/>
      <c r="F51" s="16"/>
      <c r="G51" s="17"/>
    </row>
    <row r="52" spans="2:9" ht="20.25" customHeight="1" x14ac:dyDescent="0.25">
      <c r="B52" s="146" t="s">
        <v>45</v>
      </c>
      <c r="C52" s="146"/>
      <c r="D52" s="146"/>
      <c r="E52" s="23" t="str">
        <f>IF(SUM(E54:E54)=0,0,"")</f>
        <v/>
      </c>
      <c r="F52" s="23"/>
      <c r="G52" s="23"/>
    </row>
    <row r="53" spans="2:9" x14ac:dyDescent="0.2">
      <c r="E53" s="15" t="str">
        <f>IF(SUM(E54:E54)=0,0,"")</f>
        <v/>
      </c>
      <c r="F53" s="15"/>
      <c r="G53" s="15"/>
    </row>
    <row r="54" spans="2:9" ht="25.5" x14ac:dyDescent="0.2">
      <c r="B54" s="18" t="s">
        <v>37</v>
      </c>
      <c r="C54" s="19" t="s">
        <v>36</v>
      </c>
      <c r="D54" s="20" t="s">
        <v>237</v>
      </c>
      <c r="E54" s="83">
        <v>35</v>
      </c>
      <c r="F54" s="107"/>
      <c r="G54" s="21" t="str">
        <f t="shared" ref="G54:G55" si="7">IF(F54="","",E54*F54)</f>
        <v/>
      </c>
      <c r="I54" s="75">
        <v>0</v>
      </c>
    </row>
    <row r="55" spans="2:9" ht="25.5" x14ac:dyDescent="0.2">
      <c r="B55" s="18" t="s">
        <v>218</v>
      </c>
      <c r="C55" s="19" t="s">
        <v>4</v>
      </c>
      <c r="D55" s="20" t="s">
        <v>219</v>
      </c>
      <c r="E55" s="83">
        <v>1</v>
      </c>
      <c r="F55" s="107"/>
      <c r="G55" s="21" t="str">
        <f t="shared" si="7"/>
        <v/>
      </c>
      <c r="I55" s="6"/>
    </row>
    <row r="56" spans="2:9" ht="13.5" thickBot="1" x14ac:dyDescent="0.25"/>
    <row r="57" spans="2:9" ht="16.5" thickBot="1" x14ac:dyDescent="0.25">
      <c r="D57" s="26" t="s">
        <v>70</v>
      </c>
      <c r="E57" s="27"/>
      <c r="F57" s="141" t="str">
        <f>IF(SUM(G8:G55)=0,"",SUM(G8:G55))</f>
        <v/>
      </c>
      <c r="G57" s="142"/>
    </row>
  </sheetData>
  <sheetProtection algorithmName="SHA-512" hashValue="BxdzPfz93NZlnB1D50M0jSQugrijSUQJcRZ9/DBV1zNTlIjviPwoZgcyBrvWlmKqAjxTcIooVjPY7ayiDyeHYA==" saltValue="KM/pjb6Z5Dv+OGmJZMa+jw==" spinCount="100000" sheet="1" objects="1" scenarios="1"/>
  <autoFilter ref="E1:G57">
    <filterColumn colId="0">
      <filters blank="1">
        <filter val="0,23"/>
        <filter val="1,00"/>
        <filter val="1,25"/>
        <filter val="1.500,00"/>
        <filter val="1.900,00"/>
        <filter val="10,00"/>
        <filter val="12,00"/>
        <filter val="135,00"/>
        <filter val="150,00"/>
        <filter val="180,00"/>
        <filter val="20,00"/>
        <filter val="24,00"/>
        <filter val="3,00"/>
        <filter val="30,00"/>
        <filter val="300,00"/>
        <filter val="33,50"/>
        <filter val="35,00"/>
        <filter val="5,00"/>
        <filter val="55,00"/>
        <filter val="67,00"/>
        <filter val="7,00"/>
        <filter val="70,00"/>
        <filter val="8,00"/>
        <filter val="količina"/>
      </filters>
    </filterColumn>
  </autoFilter>
  <dataConsolidate/>
  <mergeCells count="10">
    <mergeCell ref="F57:G57"/>
    <mergeCell ref="B4:G4"/>
    <mergeCell ref="B6:D6"/>
    <mergeCell ref="B13:D13"/>
    <mergeCell ref="B14:D14"/>
    <mergeCell ref="B26:D26"/>
    <mergeCell ref="B34:D34"/>
    <mergeCell ref="B46:D46"/>
    <mergeCell ref="B51:D51"/>
    <mergeCell ref="B52:D5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2" manualBreakCount="2">
    <brk id="25" max="16383" man="1"/>
    <brk id="50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8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28" hidden="1" customWidth="1"/>
    <col min="9" max="9" width="8.7109375" style="31" hidden="1" customWidth="1"/>
    <col min="10" max="10" width="9.140625" style="6" customWidth="1"/>
    <col min="11" max="16384" width="9.140625" style="6"/>
  </cols>
  <sheetData>
    <row r="1" spans="1:9" ht="10.5" customHeight="1" x14ac:dyDescent="0.2">
      <c r="A1" s="1"/>
    </row>
    <row r="2" spans="1:9" ht="24.95" customHeight="1" x14ac:dyDescent="0.2">
      <c r="B2" s="8" t="s">
        <v>46</v>
      </c>
      <c r="C2" s="8" t="s">
        <v>51</v>
      </c>
      <c r="D2" s="8" t="s">
        <v>47</v>
      </c>
      <c r="E2" s="9" t="s">
        <v>48</v>
      </c>
      <c r="F2" s="9" t="s">
        <v>49</v>
      </c>
      <c r="G2" s="9" t="s">
        <v>50</v>
      </c>
      <c r="I2" s="32" t="s">
        <v>56</v>
      </c>
    </row>
    <row r="3" spans="1:9" s="14" customFormat="1" ht="10.5" customHeight="1" x14ac:dyDescent="0.2">
      <c r="A3" s="10"/>
      <c r="B3" s="11"/>
      <c r="C3" s="11"/>
      <c r="D3" s="12"/>
      <c r="E3" s="13"/>
      <c r="F3" s="13"/>
      <c r="G3" s="13"/>
      <c r="H3" s="29"/>
      <c r="I3" s="33"/>
    </row>
    <row r="4" spans="1:9" ht="15.75" x14ac:dyDescent="0.2">
      <c r="B4" s="143" t="s">
        <v>71</v>
      </c>
      <c r="C4" s="143"/>
      <c r="D4" s="143"/>
      <c r="E4" s="143"/>
      <c r="F4" s="143"/>
      <c r="G4" s="143"/>
    </row>
    <row r="5" spans="1:9" ht="10.5" customHeight="1" x14ac:dyDescent="0.2">
      <c r="B5" s="90"/>
      <c r="C5" s="90"/>
      <c r="D5" s="90"/>
      <c r="E5" s="15"/>
      <c r="F5" s="15"/>
      <c r="G5" s="15"/>
    </row>
    <row r="6" spans="1:9" ht="21.2" customHeight="1" x14ac:dyDescent="0.3">
      <c r="B6" s="144" t="s">
        <v>101</v>
      </c>
      <c r="C6" s="145"/>
      <c r="D6" s="145"/>
      <c r="E6" s="16"/>
      <c r="F6" s="16"/>
      <c r="G6" s="17"/>
    </row>
    <row r="7" spans="1:9" ht="10.5" customHeight="1" x14ac:dyDescent="0.2">
      <c r="E7" s="15"/>
      <c r="F7" s="15"/>
      <c r="G7" s="15"/>
    </row>
    <row r="8" spans="1:9" ht="38.25" x14ac:dyDescent="0.2">
      <c r="B8" s="18" t="s">
        <v>72</v>
      </c>
      <c r="C8" s="19" t="s">
        <v>23</v>
      </c>
      <c r="D8" s="20" t="s">
        <v>95</v>
      </c>
      <c r="E8" s="83">
        <f>2000*0.2</f>
        <v>400</v>
      </c>
      <c r="F8" s="107"/>
      <c r="G8" s="21" t="str">
        <f t="shared" ref="G8:G12" si="0">IF(F8="","",E8*F8)</f>
        <v/>
      </c>
      <c r="I8" s="59">
        <v>5.28</v>
      </c>
    </row>
    <row r="9" spans="1:9" ht="25.5" x14ac:dyDescent="0.2">
      <c r="B9" s="18" t="s">
        <v>74</v>
      </c>
      <c r="C9" s="19" t="s">
        <v>23</v>
      </c>
      <c r="D9" s="20" t="s">
        <v>291</v>
      </c>
      <c r="E9" s="83">
        <f>('3. VOZIŠČNE KONSTRUKCIJE'!E26*0.86)+('3. VOZIŠČNE KONSTRUKCIJE'!E25*0.54)+(245*0.34)+3000</f>
        <v>5584.3</v>
      </c>
      <c r="F9" s="107"/>
      <c r="G9" s="21" t="str">
        <f t="shared" si="0"/>
        <v/>
      </c>
      <c r="I9" s="61">
        <v>5.28</v>
      </c>
    </row>
    <row r="10" spans="1:9" ht="51" x14ac:dyDescent="0.2">
      <c r="B10" s="18" t="s">
        <v>75</v>
      </c>
      <c r="C10" s="19" t="s">
        <v>23</v>
      </c>
      <c r="D10" s="20" t="s">
        <v>96</v>
      </c>
      <c r="E10" s="83">
        <f>+('4. ODVODNJAVANJE'!E13*1.3)+('4. ODVODNJAVANJE'!E14*1.5)</f>
        <v>347</v>
      </c>
      <c r="F10" s="107"/>
      <c r="G10" s="21" t="str">
        <f t="shared" si="0"/>
        <v/>
      </c>
      <c r="I10" s="60">
        <v>8.8000000000000007</v>
      </c>
    </row>
    <row r="11" spans="1:9" ht="51" x14ac:dyDescent="0.2">
      <c r="B11" s="18" t="s">
        <v>76</v>
      </c>
      <c r="C11" s="19" t="s">
        <v>23</v>
      </c>
      <c r="D11" s="20" t="s">
        <v>97</v>
      </c>
      <c r="E11" s="83">
        <f>+('4. ODVODNJAVANJE'!E24*4)</f>
        <v>100</v>
      </c>
      <c r="F11" s="107"/>
      <c r="G11" s="21" t="str">
        <f t="shared" si="0"/>
        <v/>
      </c>
      <c r="I11" s="62">
        <v>11.33</v>
      </c>
    </row>
    <row r="12" spans="1:9" ht="51" x14ac:dyDescent="0.2">
      <c r="B12" s="18" t="s">
        <v>77</v>
      </c>
      <c r="C12" s="19" t="s">
        <v>23</v>
      </c>
      <c r="D12" s="20" t="s">
        <v>98</v>
      </c>
      <c r="E12" s="83">
        <f>+('4. ODVODNJAVANJE'!E33*12)</f>
        <v>120</v>
      </c>
      <c r="F12" s="107"/>
      <c r="G12" s="21" t="str">
        <f t="shared" si="0"/>
        <v/>
      </c>
      <c r="I12" s="63">
        <v>13.86</v>
      </c>
    </row>
    <row r="13" spans="1:9" ht="10.5" customHeight="1" x14ac:dyDescent="0.2">
      <c r="E13" s="15"/>
      <c r="F13" s="15"/>
      <c r="G13" s="15"/>
    </row>
    <row r="14" spans="1:9" ht="21.2" customHeight="1" x14ac:dyDescent="0.3">
      <c r="B14" s="144" t="s">
        <v>73</v>
      </c>
      <c r="C14" s="145"/>
      <c r="D14" s="145"/>
      <c r="E14" s="16"/>
      <c r="F14" s="16"/>
      <c r="G14" s="17"/>
    </row>
    <row r="15" spans="1:9" ht="10.5" customHeight="1" x14ac:dyDescent="0.2">
      <c r="E15" s="15"/>
      <c r="F15" s="15"/>
      <c r="G15" s="15"/>
    </row>
    <row r="16" spans="1:9" ht="38.25" x14ac:dyDescent="0.2">
      <c r="B16" s="18" t="s">
        <v>78</v>
      </c>
      <c r="C16" s="19" t="s">
        <v>9</v>
      </c>
      <c r="D16" s="20" t="s">
        <v>290</v>
      </c>
      <c r="E16" s="83">
        <f>10*1</f>
        <v>10</v>
      </c>
      <c r="F16" s="107"/>
      <c r="G16" s="21" t="str">
        <f>IF(F16="","",E16*F16)</f>
        <v/>
      </c>
      <c r="I16" s="56">
        <v>0</v>
      </c>
    </row>
    <row r="17" spans="1:9" ht="25.5" x14ac:dyDescent="0.2">
      <c r="B17" s="18" t="s">
        <v>79</v>
      </c>
      <c r="C17" s="19" t="s">
        <v>9</v>
      </c>
      <c r="D17" s="108" t="s">
        <v>99</v>
      </c>
      <c r="E17" s="83">
        <f>('3. VOZIŠČNE KONSTRUKCIJE'!E25+'3. VOZIŠČNE KONSTRUKCIJE'!E26)*0.98</f>
        <v>3087</v>
      </c>
      <c r="F17" s="107"/>
      <c r="G17" s="21" t="str">
        <f t="shared" ref="G17:G18" si="1">IF(F17="","",E17*F17)</f>
        <v/>
      </c>
      <c r="I17" s="56">
        <v>2</v>
      </c>
    </row>
    <row r="18" spans="1:9" ht="25.5" x14ac:dyDescent="0.2">
      <c r="B18" s="18" t="s">
        <v>221</v>
      </c>
      <c r="C18" s="19" t="s">
        <v>9</v>
      </c>
      <c r="D18" s="108" t="s">
        <v>238</v>
      </c>
      <c r="E18" s="83">
        <f>('3. VOZIŠČNE KONSTRUKCIJE'!E25+'3. VOZIŠČNE KONSTRUKCIJE'!E26)*1</f>
        <v>3150</v>
      </c>
      <c r="F18" s="107"/>
      <c r="G18" s="21" t="str">
        <f t="shared" si="1"/>
        <v/>
      </c>
      <c r="I18" s="28"/>
    </row>
    <row r="19" spans="1:9" ht="10.5" customHeight="1" x14ac:dyDescent="0.2">
      <c r="E19" s="15"/>
      <c r="F19" s="15"/>
      <c r="G19" s="15"/>
    </row>
    <row r="20" spans="1:9" ht="21.2" customHeight="1" x14ac:dyDescent="0.3">
      <c r="B20" s="144" t="s">
        <v>102</v>
      </c>
      <c r="C20" s="145"/>
      <c r="D20" s="145"/>
      <c r="E20" s="16"/>
      <c r="F20" s="16"/>
      <c r="G20" s="17"/>
    </row>
    <row r="21" spans="1:9" ht="10.5" customHeight="1" x14ac:dyDescent="0.2">
      <c r="E21" s="15"/>
      <c r="F21" s="15"/>
      <c r="G21" s="15"/>
    </row>
    <row r="22" spans="1:9" s="117" customFormat="1" ht="38.25" x14ac:dyDescent="0.2">
      <c r="A22" s="109"/>
      <c r="B22" s="110" t="s">
        <v>80</v>
      </c>
      <c r="C22" s="111" t="s">
        <v>9</v>
      </c>
      <c r="D22" s="108" t="s">
        <v>100</v>
      </c>
      <c r="E22" s="83">
        <f>('3. VOZIŠČNE KONSTRUKCIJE'!E25+'3. VOZIŠČNE KONSTRUKCIJE'!E26)*1.4</f>
        <v>4410</v>
      </c>
      <c r="F22" s="118"/>
      <c r="G22" s="83" t="str">
        <f t="shared" ref="G22" si="2">IF(F22="","",E22*F22)</f>
        <v/>
      </c>
      <c r="H22" s="30"/>
      <c r="I22" s="88">
        <v>0</v>
      </c>
    </row>
    <row r="23" spans="1:9" ht="10.5" customHeight="1" x14ac:dyDescent="0.2">
      <c r="E23" s="112"/>
      <c r="F23" s="15"/>
      <c r="G23" s="15"/>
    </row>
    <row r="24" spans="1:9" ht="21.2" customHeight="1" x14ac:dyDescent="0.3">
      <c r="B24" s="144" t="s">
        <v>103</v>
      </c>
      <c r="C24" s="145"/>
      <c r="D24" s="145"/>
      <c r="E24" s="16"/>
      <c r="F24" s="16"/>
      <c r="G24" s="17"/>
    </row>
    <row r="25" spans="1:9" ht="10.5" customHeight="1" x14ac:dyDescent="0.2">
      <c r="E25" s="15"/>
      <c r="F25" s="15"/>
      <c r="G25" s="15"/>
    </row>
    <row r="26" spans="1:9" ht="89.25" x14ac:dyDescent="0.2">
      <c r="B26" s="18" t="s">
        <v>81</v>
      </c>
      <c r="C26" s="19" t="s">
        <v>23</v>
      </c>
      <c r="D26" s="20" t="s">
        <v>303</v>
      </c>
      <c r="E26" s="83">
        <f>(E10+E11+E12)*0.75</f>
        <v>425.25</v>
      </c>
      <c r="F26" s="107"/>
      <c r="G26" s="21" t="str">
        <f t="shared" ref="G26" si="3">IF(F26="","",E26*F26)</f>
        <v/>
      </c>
      <c r="I26" s="64">
        <v>18</v>
      </c>
    </row>
    <row r="27" spans="1:9" ht="38.25" x14ac:dyDescent="0.2">
      <c r="B27" s="18" t="s">
        <v>82</v>
      </c>
      <c r="C27" s="19" t="s">
        <v>23</v>
      </c>
      <c r="D27" s="20" t="s">
        <v>292</v>
      </c>
      <c r="E27" s="83">
        <f>'3. VOZIŠČNE KONSTRUKCIJE'!E25*0.32</f>
        <v>208</v>
      </c>
      <c r="F27" s="107"/>
      <c r="G27" s="21" t="str">
        <f t="shared" ref="G27:G28" si="4">IF(F27="","",E27*F27)</f>
        <v/>
      </c>
      <c r="I27" s="50">
        <v>0</v>
      </c>
    </row>
    <row r="28" spans="1:9" ht="51" x14ac:dyDescent="0.2">
      <c r="B28" s="18" t="s">
        <v>83</v>
      </c>
      <c r="C28" s="19" t="s">
        <v>23</v>
      </c>
      <c r="D28" s="20" t="s">
        <v>293</v>
      </c>
      <c r="E28" s="83">
        <f>'3. VOZIŠČNE KONSTRUKCIJE'!E26*0.42</f>
        <v>1050</v>
      </c>
      <c r="F28" s="107"/>
      <c r="G28" s="21" t="str">
        <f t="shared" si="4"/>
        <v/>
      </c>
      <c r="I28" s="50">
        <v>0</v>
      </c>
    </row>
    <row r="29" spans="1:9" x14ac:dyDescent="0.2">
      <c r="E29" s="15" t="str">
        <f>IF(SUM(E32:E34)=0,0,"")</f>
        <v/>
      </c>
      <c r="F29" s="15"/>
      <c r="G29" s="15"/>
    </row>
    <row r="30" spans="1:9" ht="21.2" customHeight="1" x14ac:dyDescent="0.3">
      <c r="B30" s="144" t="s">
        <v>104</v>
      </c>
      <c r="C30" s="145"/>
      <c r="D30" s="145"/>
      <c r="E30" s="16" t="str">
        <f>IF(SUM(E32:E34)=0,0,"")</f>
        <v/>
      </c>
      <c r="F30" s="16"/>
      <c r="G30" s="17"/>
    </row>
    <row r="31" spans="1:9" x14ac:dyDescent="0.2">
      <c r="E31" s="15" t="str">
        <f>IF(SUM(E32:E34)=0,0,"")</f>
        <v/>
      </c>
      <c r="F31" s="15"/>
      <c r="G31" s="15"/>
    </row>
    <row r="32" spans="1:9" ht="38.25" x14ac:dyDescent="0.2">
      <c r="B32" s="18" t="s">
        <v>84</v>
      </c>
      <c r="C32" s="19" t="s">
        <v>9</v>
      </c>
      <c r="D32" s="20" t="s">
        <v>294</v>
      </c>
      <c r="E32" s="83">
        <v>1000</v>
      </c>
      <c r="F32" s="107"/>
      <c r="G32" s="21" t="str">
        <f t="shared" ref="G32:G34" si="5">IF(F32="","",E32*F32)</f>
        <v/>
      </c>
      <c r="I32" s="57">
        <v>0</v>
      </c>
    </row>
    <row r="33" spans="2:9" ht="25.5" x14ac:dyDescent="0.2">
      <c r="B33" s="18" t="s">
        <v>85</v>
      </c>
      <c r="C33" s="19" t="s">
        <v>9</v>
      </c>
      <c r="D33" s="20" t="s">
        <v>234</v>
      </c>
      <c r="E33" s="83">
        <f>E32</f>
        <v>1000</v>
      </c>
      <c r="F33" s="107"/>
      <c r="G33" s="21" t="str">
        <f t="shared" si="5"/>
        <v/>
      </c>
      <c r="I33" s="57">
        <v>0</v>
      </c>
    </row>
    <row r="34" spans="2:9" ht="63.75" x14ac:dyDescent="0.2">
      <c r="B34" s="18" t="s">
        <v>86</v>
      </c>
      <c r="C34" s="19" t="s">
        <v>4</v>
      </c>
      <c r="D34" s="20" t="s">
        <v>334</v>
      </c>
      <c r="E34" s="21">
        <v>18</v>
      </c>
      <c r="F34" s="107"/>
      <c r="G34" s="21" t="str">
        <f t="shared" si="5"/>
        <v/>
      </c>
      <c r="I34" s="46">
        <v>20</v>
      </c>
    </row>
    <row r="35" spans="2:9" x14ac:dyDescent="0.2">
      <c r="E35" s="15" t="str">
        <f>IF(SUM(E38:E38)=0,0,"")</f>
        <v/>
      </c>
      <c r="F35" s="15"/>
      <c r="G35" s="15"/>
    </row>
    <row r="36" spans="2:9" ht="21.2" customHeight="1" x14ac:dyDescent="0.3">
      <c r="B36" s="144" t="s">
        <v>105</v>
      </c>
      <c r="C36" s="145"/>
      <c r="D36" s="145"/>
      <c r="E36" s="16" t="str">
        <f>IF(SUM(E38:E38)=0,0,"")</f>
        <v/>
      </c>
      <c r="F36" s="16"/>
      <c r="G36" s="17"/>
    </row>
    <row r="37" spans="2:9" x14ac:dyDescent="0.2">
      <c r="E37" s="15" t="str">
        <f>IF(SUM(E38:E38)=0,0,"")</f>
        <v/>
      </c>
      <c r="F37" s="15"/>
      <c r="G37" s="15"/>
    </row>
    <row r="38" spans="2:9" ht="76.5" x14ac:dyDescent="0.2">
      <c r="B38" s="18" t="s">
        <v>87</v>
      </c>
      <c r="C38" s="19" t="s">
        <v>9</v>
      </c>
      <c r="D38" s="20" t="s">
        <v>319</v>
      </c>
      <c r="E38" s="21">
        <v>800</v>
      </c>
      <c r="F38" s="107"/>
      <c r="G38" s="21" t="str">
        <f t="shared" ref="G38" si="6">IF(F38="","",E38*F38)</f>
        <v/>
      </c>
      <c r="I38" s="54">
        <v>0</v>
      </c>
    </row>
    <row r="39" spans="2:9" x14ac:dyDescent="0.2">
      <c r="E39" s="15"/>
      <c r="F39" s="15"/>
      <c r="G39" s="15"/>
    </row>
    <row r="40" spans="2:9" ht="21.2" customHeight="1" x14ac:dyDescent="0.3">
      <c r="B40" s="144" t="s">
        <v>106</v>
      </c>
      <c r="C40" s="145"/>
      <c r="D40" s="145"/>
      <c r="E40" s="16"/>
      <c r="F40" s="16"/>
      <c r="G40" s="17"/>
    </row>
    <row r="41" spans="2:9" x14ac:dyDescent="0.2">
      <c r="E41" s="15"/>
      <c r="F41" s="15"/>
      <c r="G41" s="15"/>
    </row>
    <row r="42" spans="2:9" ht="25.5" x14ac:dyDescent="0.2">
      <c r="B42" s="18" t="s">
        <v>89</v>
      </c>
      <c r="C42" s="19" t="s">
        <v>88</v>
      </c>
      <c r="D42" s="20" t="s">
        <v>235</v>
      </c>
      <c r="E42" s="83">
        <f>E44+E45+E46</f>
        <v>10028.275</v>
      </c>
      <c r="F42" s="107"/>
      <c r="G42" s="21" t="str">
        <f t="shared" ref="G42:G46" si="7">IF(F42="","",E42*F42)</f>
        <v/>
      </c>
      <c r="I42" s="55">
        <v>0</v>
      </c>
    </row>
    <row r="43" spans="2:9" ht="51" x14ac:dyDescent="0.2">
      <c r="B43" s="18" t="s">
        <v>90</v>
      </c>
      <c r="C43" s="19" t="s">
        <v>88</v>
      </c>
      <c r="D43" s="108" t="s">
        <v>269</v>
      </c>
      <c r="E43" s="83">
        <f>(('1. PREDDELA'!E39)*0.07+('1. PREDDELA'!E40)*0.1)*2.3</f>
        <v>7.9062499999999991</v>
      </c>
      <c r="F43" s="107"/>
      <c r="G43" s="21" t="str">
        <f t="shared" si="7"/>
        <v/>
      </c>
      <c r="I43" s="56">
        <v>0</v>
      </c>
    </row>
    <row r="44" spans="2:9" ht="38.25" x14ac:dyDescent="0.2">
      <c r="B44" s="18" t="s">
        <v>91</v>
      </c>
      <c r="C44" s="19" t="s">
        <v>88</v>
      </c>
      <c r="D44" s="20" t="s">
        <v>224</v>
      </c>
      <c r="E44" s="83">
        <f>(E8+E9+E10+'1. PREDDELA'!E36)*1.5</f>
        <v>9511.9500000000007</v>
      </c>
      <c r="F44" s="107"/>
      <c r="G44" s="21" t="str">
        <f t="shared" si="7"/>
        <v/>
      </c>
      <c r="I44" s="56">
        <v>0</v>
      </c>
    </row>
    <row r="45" spans="2:9" ht="38.25" x14ac:dyDescent="0.2">
      <c r="B45" s="18" t="s">
        <v>92</v>
      </c>
      <c r="C45" s="19" t="s">
        <v>88</v>
      </c>
      <c r="D45" s="20" t="s">
        <v>225</v>
      </c>
      <c r="E45" s="83">
        <f>(('1. PREDDELA'!E38)*0.14+('1. PREDDELA'!E37*0.05))*2.3</f>
        <v>491.05</v>
      </c>
      <c r="F45" s="107"/>
      <c r="G45" s="21" t="str">
        <f t="shared" si="7"/>
        <v/>
      </c>
      <c r="I45" s="56">
        <v>0</v>
      </c>
    </row>
    <row r="46" spans="2:9" ht="51" x14ac:dyDescent="0.2">
      <c r="B46" s="18" t="s">
        <v>93</v>
      </c>
      <c r="C46" s="19" t="s">
        <v>88</v>
      </c>
      <c r="D46" s="20" t="s">
        <v>226</v>
      </c>
      <c r="E46" s="83">
        <f>(('1. PREDDELA'!E43*80/1000)+('1. PREDDELA'!E49*120/1000)+(('1. PREDDELA'!E48)*170/1000)+('1. PREDDELA'!E44*50/1000))*2.5</f>
        <v>25.274999999999999</v>
      </c>
      <c r="F46" s="107"/>
      <c r="G46" s="21" t="str">
        <f t="shared" si="7"/>
        <v/>
      </c>
      <c r="I46" s="56">
        <v>0</v>
      </c>
    </row>
    <row r="47" spans="2:9" ht="13.5" thickBot="1" x14ac:dyDescent="0.25">
      <c r="B47" s="113"/>
      <c r="C47" s="114"/>
      <c r="D47" s="115"/>
      <c r="E47" s="116"/>
      <c r="F47" s="116"/>
      <c r="G47" s="116"/>
      <c r="I47" s="28"/>
    </row>
    <row r="48" spans="2:9" ht="16.5" thickBot="1" x14ac:dyDescent="0.25">
      <c r="D48" s="26" t="s">
        <v>94</v>
      </c>
      <c r="E48" s="27"/>
      <c r="F48" s="141" t="str">
        <f>IF(SUM(G8:G46)=0,"",SUM(G8:G46))</f>
        <v/>
      </c>
      <c r="G48" s="142"/>
    </row>
  </sheetData>
  <sheetProtection algorithmName="SHA-512" hashValue="5O4nG8Hjc2qJsp3Ohu4CFwfxbZUzhOGGDFf7bXjb50nD/kYFwhxJtaMNoPvORoqlhcWVbql2Rlbn5WSzJ36TsA==" saltValue="ICxbsEtV0VHQ75i1qnErbw==" spinCount="100000" sheet="1" objects="1" scenarios="1"/>
  <autoFilter ref="E1:G48">
    <filterColumn colId="0">
      <filters blank="1">
        <filter val="1,00"/>
        <filter val="1.000,00"/>
        <filter val="1.050,00"/>
        <filter val="10,00"/>
        <filter val="10.028,28"/>
        <filter val="100,00"/>
        <filter val="120,00"/>
        <filter val="18,00"/>
        <filter val="208,00"/>
        <filter val="25,28"/>
        <filter val="3.087,00"/>
        <filter val="3.150,00"/>
        <filter val="347,00"/>
        <filter val="4.410,00"/>
        <filter val="400,00"/>
        <filter val="425,25"/>
        <filter val="491,05"/>
        <filter val="5.584,30"/>
        <filter val="7,91"/>
        <filter val="9.511,95"/>
        <filter val="količina"/>
      </filters>
    </filterColumn>
  </autoFilter>
  <dataConsolidate/>
  <mergeCells count="9">
    <mergeCell ref="B4:G4"/>
    <mergeCell ref="B6:D6"/>
    <mergeCell ref="B14:D14"/>
    <mergeCell ref="B20:D20"/>
    <mergeCell ref="F48:G48"/>
    <mergeCell ref="B24:D24"/>
    <mergeCell ref="B30:D30"/>
    <mergeCell ref="B36:D36"/>
    <mergeCell ref="B40:D4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54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31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46</v>
      </c>
      <c r="C2" s="8" t="s">
        <v>51</v>
      </c>
      <c r="D2" s="8" t="s">
        <v>47</v>
      </c>
      <c r="E2" s="9" t="s">
        <v>48</v>
      </c>
      <c r="F2" s="9" t="s">
        <v>49</v>
      </c>
      <c r="G2" s="9" t="s">
        <v>50</v>
      </c>
      <c r="I2" s="32" t="s">
        <v>56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33"/>
    </row>
    <row r="4" spans="1:9" ht="15.75" x14ac:dyDescent="0.2">
      <c r="B4" s="143" t="s">
        <v>107</v>
      </c>
      <c r="C4" s="143"/>
      <c r="D4" s="143"/>
      <c r="E4" s="143"/>
      <c r="F4" s="143"/>
      <c r="G4" s="143"/>
    </row>
    <row r="5" spans="1:9" ht="12.75" customHeight="1" x14ac:dyDescent="0.2">
      <c r="B5" s="90"/>
      <c r="C5" s="90"/>
      <c r="D5" s="90"/>
      <c r="E5" s="119"/>
      <c r="F5" s="119"/>
      <c r="G5" s="119"/>
    </row>
    <row r="6" spans="1:9" ht="21.2" customHeight="1" x14ac:dyDescent="0.3">
      <c r="B6" s="144" t="s">
        <v>147</v>
      </c>
      <c r="C6" s="145"/>
      <c r="D6" s="145"/>
      <c r="E6" s="16"/>
      <c r="F6" s="16"/>
      <c r="G6" s="17"/>
    </row>
    <row r="7" spans="1:9" ht="21.2" customHeight="1" x14ac:dyDescent="0.25">
      <c r="B7" s="146" t="s">
        <v>108</v>
      </c>
      <c r="C7" s="146"/>
      <c r="D7" s="146"/>
      <c r="E7" s="23"/>
      <c r="F7" s="23"/>
      <c r="G7" s="23"/>
    </row>
    <row r="8" spans="1:9" ht="13.5" x14ac:dyDescent="0.25">
      <c r="E8" s="76"/>
      <c r="F8" s="76"/>
      <c r="G8" s="76"/>
    </row>
    <row r="9" spans="1:9" ht="38.25" x14ac:dyDescent="0.2">
      <c r="B9" s="18" t="s">
        <v>179</v>
      </c>
      <c r="C9" s="19" t="s">
        <v>23</v>
      </c>
      <c r="D9" s="20" t="s">
        <v>254</v>
      </c>
      <c r="E9" s="83">
        <f>E25*0.21</f>
        <v>136.5</v>
      </c>
      <c r="F9" s="107"/>
      <c r="G9" s="21" t="str">
        <f t="shared" ref="G9:G11" si="0">IF(F9="","",E9*F9)</f>
        <v/>
      </c>
      <c r="I9" s="47">
        <v>20</v>
      </c>
    </row>
    <row r="10" spans="1:9" s="117" customFormat="1" ht="51" x14ac:dyDescent="0.2">
      <c r="A10" s="109"/>
      <c r="B10" s="110" t="s">
        <v>180</v>
      </c>
      <c r="C10" s="111" t="s">
        <v>23</v>
      </c>
      <c r="D10" s="108" t="s">
        <v>289</v>
      </c>
      <c r="E10" s="83">
        <f>E26*0.31</f>
        <v>775</v>
      </c>
      <c r="F10" s="118"/>
      <c r="G10" s="83" t="str">
        <f t="shared" si="0"/>
        <v/>
      </c>
      <c r="I10" s="47">
        <v>22</v>
      </c>
    </row>
    <row r="11" spans="1:9" ht="38.25" x14ac:dyDescent="0.2">
      <c r="B11" s="18" t="s">
        <v>181</v>
      </c>
      <c r="C11" s="19" t="s">
        <v>23</v>
      </c>
      <c r="D11" s="20" t="s">
        <v>212</v>
      </c>
      <c r="E11" s="83">
        <f>(E15+E16+E25)*0.05</f>
        <v>157.5</v>
      </c>
      <c r="F11" s="107"/>
      <c r="G11" s="21" t="str">
        <f t="shared" si="0"/>
        <v/>
      </c>
      <c r="I11" s="51">
        <v>5</v>
      </c>
    </row>
    <row r="12" spans="1:9" x14ac:dyDescent="0.2">
      <c r="E12" s="15"/>
      <c r="F12" s="15"/>
      <c r="G12" s="15"/>
    </row>
    <row r="13" spans="1:9" ht="21.75" customHeight="1" x14ac:dyDescent="0.25">
      <c r="B13" s="147" t="s">
        <v>182</v>
      </c>
      <c r="C13" s="147"/>
      <c r="D13" s="147"/>
      <c r="E13" s="76" t="str">
        <f>IF(SUM(E15:E16)=0,0,"")</f>
        <v/>
      </c>
      <c r="F13" s="76"/>
      <c r="G13" s="76"/>
    </row>
    <row r="14" spans="1:9" x14ac:dyDescent="0.2">
      <c r="E14" s="15" t="str">
        <f>IF(SUM(E15:E16)=0,0,"")</f>
        <v/>
      </c>
      <c r="F14" s="15"/>
      <c r="G14" s="15"/>
    </row>
    <row r="15" spans="1:9" ht="76.5" x14ac:dyDescent="0.2">
      <c r="B15" s="18" t="s">
        <v>183</v>
      </c>
      <c r="C15" s="19" t="s">
        <v>9</v>
      </c>
      <c r="D15" s="20" t="s">
        <v>284</v>
      </c>
      <c r="E15" s="83">
        <v>900</v>
      </c>
      <c r="F15" s="107"/>
      <c r="G15" s="21" t="str">
        <f t="shared" ref="G15" si="1">IF(F15="","",E15*F15)</f>
        <v/>
      </c>
      <c r="I15" s="53">
        <v>0</v>
      </c>
    </row>
    <row r="16" spans="1:9" ht="76.5" x14ac:dyDescent="0.2">
      <c r="B16" s="18" t="s">
        <v>184</v>
      </c>
      <c r="C16" s="19" t="s">
        <v>9</v>
      </c>
      <c r="D16" s="20" t="s">
        <v>283</v>
      </c>
      <c r="E16" s="83">
        <v>1600</v>
      </c>
      <c r="F16" s="107"/>
      <c r="G16" s="21" t="str">
        <f t="shared" ref="G16" si="2">IF(F16="","",E16*F16)</f>
        <v/>
      </c>
      <c r="I16" s="53">
        <v>0</v>
      </c>
    </row>
    <row r="17" spans="1:9" x14ac:dyDescent="0.2">
      <c r="E17" s="15"/>
      <c r="F17" s="15"/>
      <c r="G17" s="15"/>
    </row>
    <row r="18" spans="1:9" ht="21.2" customHeight="1" x14ac:dyDescent="0.3">
      <c r="B18" s="144" t="s">
        <v>185</v>
      </c>
      <c r="C18" s="145"/>
      <c r="D18" s="145"/>
      <c r="E18" s="16"/>
      <c r="F18" s="16"/>
      <c r="G18" s="17"/>
    </row>
    <row r="19" spans="1:9" ht="21.2" customHeight="1" x14ac:dyDescent="0.25">
      <c r="B19" s="146" t="s">
        <v>186</v>
      </c>
      <c r="C19" s="146"/>
      <c r="D19" s="146"/>
      <c r="E19" s="23" t="str">
        <f>IF(SUM(E21:E21)=0,0,"")</f>
        <v/>
      </c>
      <c r="F19" s="23"/>
      <c r="G19" s="23"/>
    </row>
    <row r="20" spans="1:9" x14ac:dyDescent="0.2">
      <c r="E20" s="15" t="str">
        <f>IF(SUM(E21:E21)=0,0,"")</f>
        <v/>
      </c>
      <c r="F20" s="15"/>
      <c r="G20" s="15"/>
    </row>
    <row r="21" spans="1:9" ht="38.25" x14ac:dyDescent="0.2">
      <c r="B21" s="18" t="s">
        <v>187</v>
      </c>
      <c r="C21" s="19" t="s">
        <v>23</v>
      </c>
      <c r="D21" s="20" t="s">
        <v>288</v>
      </c>
      <c r="E21" s="83">
        <f>0.2*50</f>
        <v>10</v>
      </c>
      <c r="F21" s="107"/>
      <c r="G21" s="21" t="str">
        <f>IF(F21="","",E21*F21)</f>
        <v/>
      </c>
      <c r="I21" s="58">
        <v>0</v>
      </c>
    </row>
    <row r="22" spans="1:9" s="14" customFormat="1" x14ac:dyDescent="0.2">
      <c r="A22" s="10"/>
      <c r="B22" s="120"/>
      <c r="C22" s="121"/>
      <c r="D22" s="122"/>
      <c r="E22" s="123"/>
      <c r="F22" s="123"/>
      <c r="G22" s="123"/>
      <c r="I22" s="33"/>
    </row>
    <row r="23" spans="1:9" s="14" customFormat="1" ht="27" customHeight="1" x14ac:dyDescent="0.25">
      <c r="A23" s="10"/>
      <c r="B23" s="148" t="s">
        <v>188</v>
      </c>
      <c r="C23" s="148"/>
      <c r="D23" s="148"/>
      <c r="E23" s="124"/>
      <c r="F23" s="124"/>
      <c r="G23" s="124"/>
      <c r="I23" s="33"/>
    </row>
    <row r="24" spans="1:9" s="14" customFormat="1" x14ac:dyDescent="0.2">
      <c r="A24" s="10"/>
      <c r="B24" s="120"/>
      <c r="C24" s="121"/>
      <c r="D24" s="122"/>
      <c r="E24" s="123"/>
      <c r="F24" s="123"/>
      <c r="G24" s="123"/>
      <c r="I24" s="33"/>
    </row>
    <row r="25" spans="1:9" ht="76.5" x14ac:dyDescent="0.2">
      <c r="B25" s="18" t="s">
        <v>189</v>
      </c>
      <c r="C25" s="19" t="s">
        <v>9</v>
      </c>
      <c r="D25" s="20" t="s">
        <v>285</v>
      </c>
      <c r="E25" s="83">
        <v>650</v>
      </c>
      <c r="F25" s="107"/>
      <c r="G25" s="21" t="str">
        <f t="shared" ref="G25:G27" si="3">IF(F25="","",E25*F25)</f>
        <v/>
      </c>
      <c r="I25" s="49">
        <v>10</v>
      </c>
    </row>
    <row r="26" spans="1:9" ht="102" x14ac:dyDescent="0.2">
      <c r="B26" s="18" t="s">
        <v>190</v>
      </c>
      <c r="C26" s="19" t="s">
        <v>9</v>
      </c>
      <c r="D26" s="20" t="s">
        <v>286</v>
      </c>
      <c r="E26" s="83">
        <f>E15+E16</f>
        <v>2500</v>
      </c>
      <c r="F26" s="107"/>
      <c r="G26" s="21" t="str">
        <f t="shared" si="3"/>
        <v/>
      </c>
      <c r="I26" s="52">
        <v>0</v>
      </c>
    </row>
    <row r="27" spans="1:9" ht="38.25" x14ac:dyDescent="0.2">
      <c r="B27" s="18" t="s">
        <v>250</v>
      </c>
      <c r="C27" s="19" t="s">
        <v>20</v>
      </c>
      <c r="D27" s="20" t="s">
        <v>287</v>
      </c>
      <c r="E27" s="83">
        <v>175</v>
      </c>
      <c r="F27" s="107"/>
      <c r="G27" s="21" t="str">
        <f t="shared" si="3"/>
        <v/>
      </c>
      <c r="I27" s="28"/>
    </row>
    <row r="28" spans="1:9" x14ac:dyDescent="0.2">
      <c r="E28" s="15"/>
      <c r="F28" s="15"/>
      <c r="G28" s="15"/>
    </row>
    <row r="29" spans="1:9" ht="27" customHeight="1" x14ac:dyDescent="0.25">
      <c r="B29" s="147" t="s">
        <v>191</v>
      </c>
      <c r="C29" s="147"/>
      <c r="D29" s="147"/>
      <c r="E29" s="76"/>
      <c r="F29" s="76"/>
      <c r="G29" s="76"/>
    </row>
    <row r="30" spans="1:9" x14ac:dyDescent="0.2">
      <c r="E30" s="15"/>
      <c r="F30" s="15"/>
      <c r="G30" s="15"/>
    </row>
    <row r="31" spans="1:9" ht="38.25" x14ac:dyDescent="0.2">
      <c r="B31" s="18" t="s">
        <v>192</v>
      </c>
      <c r="C31" s="19" t="s">
        <v>9</v>
      </c>
      <c r="D31" s="20" t="s">
        <v>231</v>
      </c>
      <c r="E31" s="83">
        <f>'1. PREDDELA'!E39+'1. PREDDELA'!E40</f>
        <v>34.75</v>
      </c>
      <c r="F31" s="107"/>
      <c r="G31" s="21" t="str">
        <f t="shared" ref="G31:G33" si="4">IF(F31="","",E31*F31)</f>
        <v/>
      </c>
      <c r="I31" s="56">
        <v>0</v>
      </c>
    </row>
    <row r="32" spans="1:9" ht="25.5" x14ac:dyDescent="0.2">
      <c r="B32" s="18" t="s">
        <v>193</v>
      </c>
      <c r="C32" s="19" t="s">
        <v>9</v>
      </c>
      <c r="D32" s="20" t="s">
        <v>213</v>
      </c>
      <c r="E32" s="83">
        <f>E31</f>
        <v>34.75</v>
      </c>
      <c r="F32" s="107"/>
      <c r="G32" s="21" t="str">
        <f t="shared" si="4"/>
        <v/>
      </c>
      <c r="I32" s="56">
        <v>0</v>
      </c>
    </row>
    <row r="33" spans="2:9" ht="25.5" x14ac:dyDescent="0.2">
      <c r="B33" s="18" t="s">
        <v>194</v>
      </c>
      <c r="C33" s="19" t="s">
        <v>20</v>
      </c>
      <c r="D33" s="20" t="s">
        <v>236</v>
      </c>
      <c r="E33" s="83">
        <f>'1. PREDDELA'!E41+'1. PREDDELA'!E42</f>
        <v>72</v>
      </c>
      <c r="F33" s="107"/>
      <c r="G33" s="21" t="str">
        <f t="shared" si="4"/>
        <v/>
      </c>
      <c r="I33" s="56">
        <v>0</v>
      </c>
    </row>
    <row r="34" spans="2:9" x14ac:dyDescent="0.2">
      <c r="E34" s="15" t="str">
        <f>IF(SUM(E37:E37)=0,0,"")</f>
        <v/>
      </c>
      <c r="F34" s="15"/>
      <c r="G34" s="15"/>
    </row>
    <row r="35" spans="2:9" ht="21.2" customHeight="1" x14ac:dyDescent="0.3">
      <c r="B35" s="144" t="s">
        <v>195</v>
      </c>
      <c r="C35" s="145"/>
      <c r="D35" s="145"/>
      <c r="E35" s="16" t="str">
        <f>IF(SUM(E37:E37)=0,0,"")</f>
        <v/>
      </c>
      <c r="F35" s="16"/>
      <c r="G35" s="17"/>
    </row>
    <row r="36" spans="2:9" x14ac:dyDescent="0.2">
      <c r="E36" s="15" t="str">
        <f>IF(SUM(E37:E37)=0,0,"")</f>
        <v/>
      </c>
      <c r="F36" s="15"/>
      <c r="G36" s="15"/>
    </row>
    <row r="37" spans="2:9" ht="38.25" x14ac:dyDescent="0.2">
      <c r="B37" s="18" t="s">
        <v>265</v>
      </c>
      <c r="C37" s="19" t="s">
        <v>4</v>
      </c>
      <c r="D37" s="20" t="s">
        <v>264</v>
      </c>
      <c r="E37" s="83">
        <f>26+35+40+37+7</f>
        <v>145</v>
      </c>
      <c r="F37" s="107"/>
      <c r="G37" s="21" t="str">
        <f t="shared" ref="G37" si="5">IF(F37="","",E37*F37)</f>
        <v/>
      </c>
      <c r="I37" s="50">
        <v>0</v>
      </c>
    </row>
    <row r="38" spans="2:9" ht="13.5" x14ac:dyDescent="0.25">
      <c r="B38" s="113"/>
      <c r="C38" s="114"/>
      <c r="D38" s="115"/>
      <c r="E38" s="125"/>
      <c r="F38" s="116"/>
      <c r="G38" s="125"/>
      <c r="I38" s="28"/>
    </row>
    <row r="39" spans="2:9" ht="21.2" customHeight="1" x14ac:dyDescent="0.3">
      <c r="B39" s="144" t="s">
        <v>196</v>
      </c>
      <c r="C39" s="145"/>
      <c r="D39" s="145"/>
      <c r="E39" s="16"/>
      <c r="F39" s="16"/>
      <c r="G39" s="17"/>
    </row>
    <row r="40" spans="2:9" x14ac:dyDescent="0.2">
      <c r="E40" s="15" t="str">
        <f>IF(SUM(E43:E44)=0,0,"")</f>
        <v/>
      </c>
      <c r="F40" s="15"/>
      <c r="G40" s="15"/>
    </row>
    <row r="41" spans="2:9" ht="21.2" customHeight="1" x14ac:dyDescent="0.25">
      <c r="B41" s="147" t="s">
        <v>197</v>
      </c>
      <c r="C41" s="147"/>
      <c r="D41" s="147"/>
      <c r="E41" s="76" t="str">
        <f>IF(SUM(E43:E44)=0,0,"")</f>
        <v/>
      </c>
      <c r="F41" s="76"/>
      <c r="G41" s="76"/>
    </row>
    <row r="42" spans="2:9" x14ac:dyDescent="0.2">
      <c r="E42" s="15" t="str">
        <f>IF(SUM(E43:E44)=0,0,"")</f>
        <v/>
      </c>
      <c r="F42" s="15"/>
      <c r="G42" s="15"/>
    </row>
    <row r="43" spans="2:9" ht="38.25" x14ac:dyDescent="0.2">
      <c r="B43" s="18" t="s">
        <v>199</v>
      </c>
      <c r="C43" s="19" t="s">
        <v>20</v>
      </c>
      <c r="D43" s="20" t="s">
        <v>214</v>
      </c>
      <c r="E43" s="83">
        <v>450</v>
      </c>
      <c r="F43" s="107"/>
      <c r="G43" s="21" t="str">
        <f t="shared" ref="G43:G44" si="6">IF(F43="","",E43*F43)</f>
        <v/>
      </c>
      <c r="I43" s="48">
        <v>20</v>
      </c>
    </row>
    <row r="44" spans="2:9" ht="38.25" x14ac:dyDescent="0.2">
      <c r="B44" s="18" t="s">
        <v>200</v>
      </c>
      <c r="C44" s="19" t="s">
        <v>20</v>
      </c>
      <c r="D44" s="20" t="s">
        <v>215</v>
      </c>
      <c r="E44" s="83">
        <f>8+8+9</f>
        <v>25</v>
      </c>
      <c r="F44" s="107"/>
      <c r="G44" s="21" t="str">
        <f t="shared" si="6"/>
        <v/>
      </c>
      <c r="I44" s="56">
        <v>0</v>
      </c>
    </row>
    <row r="45" spans="2:9" x14ac:dyDescent="0.2">
      <c r="E45" s="15" t="str">
        <f>IF(SUM(E48:E48)=0,0,"")</f>
        <v/>
      </c>
      <c r="F45" s="15"/>
      <c r="G45" s="15"/>
    </row>
    <row r="46" spans="2:9" ht="21.2" customHeight="1" x14ac:dyDescent="0.25">
      <c r="B46" s="147" t="s">
        <v>198</v>
      </c>
      <c r="C46" s="147"/>
      <c r="D46" s="147"/>
      <c r="E46" s="76" t="str">
        <f>IF(SUM(E48:E48)=0,0,"")</f>
        <v/>
      </c>
      <c r="F46" s="76"/>
      <c r="G46" s="76"/>
    </row>
    <row r="47" spans="2:9" x14ac:dyDescent="0.2">
      <c r="E47" s="15" t="str">
        <f>IF(SUM(E48:E48)=0,0,"")</f>
        <v/>
      </c>
      <c r="F47" s="15"/>
      <c r="G47" s="15"/>
    </row>
    <row r="48" spans="2:9" ht="38.25" x14ac:dyDescent="0.2">
      <c r="B48" s="18" t="s">
        <v>201</v>
      </c>
      <c r="C48" s="19" t="s">
        <v>20</v>
      </c>
      <c r="D48" s="20" t="s">
        <v>249</v>
      </c>
      <c r="E48" s="83">
        <v>385</v>
      </c>
      <c r="F48" s="107"/>
      <c r="G48" s="21" t="str">
        <f t="shared" ref="G48" si="7">IF(F48="","",E48*F48)</f>
        <v/>
      </c>
      <c r="I48" s="53">
        <v>0</v>
      </c>
    </row>
    <row r="49" spans="2:9" x14ac:dyDescent="0.2">
      <c r="E49" s="15" t="str">
        <f>IF(SUM(E52:E52)=0,0,"")</f>
        <v/>
      </c>
      <c r="F49" s="15"/>
      <c r="G49" s="15"/>
    </row>
    <row r="50" spans="2:9" ht="21.2" customHeight="1" x14ac:dyDescent="0.3">
      <c r="B50" s="144" t="s">
        <v>202</v>
      </c>
      <c r="C50" s="145"/>
      <c r="D50" s="145"/>
      <c r="E50" s="16" t="str">
        <f>IF(SUM(E52:E52)=0,0,"")</f>
        <v/>
      </c>
      <c r="F50" s="16"/>
      <c r="G50" s="17"/>
    </row>
    <row r="51" spans="2:9" x14ac:dyDescent="0.2">
      <c r="E51" s="15" t="str">
        <f>IF(SUM(E52:E52)=0,0,"")</f>
        <v/>
      </c>
      <c r="F51" s="15"/>
      <c r="G51" s="15"/>
    </row>
    <row r="52" spans="2:9" ht="38.25" x14ac:dyDescent="0.2">
      <c r="B52" s="18" t="s">
        <v>203</v>
      </c>
      <c r="C52" s="19" t="s">
        <v>23</v>
      </c>
      <c r="D52" s="20" t="s">
        <v>216</v>
      </c>
      <c r="E52" s="83">
        <f>45*0.1</f>
        <v>4.5</v>
      </c>
      <c r="F52" s="107"/>
      <c r="G52" s="21" t="str">
        <f>IF(F52="","",E52*F52)</f>
        <v/>
      </c>
      <c r="I52" s="58">
        <v>0</v>
      </c>
    </row>
    <row r="53" spans="2:9" ht="13.5" thickBot="1" x14ac:dyDescent="0.25"/>
    <row r="54" spans="2:9" ht="16.5" thickBot="1" x14ac:dyDescent="0.25">
      <c r="D54" s="26" t="s">
        <v>146</v>
      </c>
      <c r="E54" s="27"/>
      <c r="F54" s="141" t="str">
        <f>IF(SUM(G9:G52)=0,"",SUM(G9:G52))</f>
        <v/>
      </c>
      <c r="G54" s="142"/>
    </row>
  </sheetData>
  <sheetProtection algorithmName="SHA-512" hashValue="yp/J84SNQH2PCSKFrAZK4k+n228JvcvYzZo0erA+QUvrvCdyh0/cNthXg0Yuv84uWLbNrHcki7fJpbU84yNfMw==" saltValue="1E4v8o6uLvz5BBR0gPAbVg==" spinCount="100000" sheet="1" objects="1" scenarios="1"/>
  <autoFilter ref="E1:G54">
    <filterColumn colId="0">
      <filters blank="1">
        <filter val="1.600,00"/>
        <filter val="10,00"/>
        <filter val="130,00"/>
        <filter val="136,50"/>
        <filter val="157,50"/>
        <filter val="175,00"/>
        <filter val="2.500,00"/>
        <filter val="25,00"/>
        <filter val="34,75"/>
        <filter val="350,00"/>
        <filter val="4,50"/>
        <filter val="450,00"/>
        <filter val="650,00"/>
        <filter val="72,00"/>
        <filter val="775,00"/>
        <filter val="900,00"/>
        <filter val="količina"/>
      </filters>
    </filterColumn>
  </autoFilter>
  <dataConsolidate/>
  <mergeCells count="14">
    <mergeCell ref="F54:G54"/>
    <mergeCell ref="B29:D29"/>
    <mergeCell ref="B35:D35"/>
    <mergeCell ref="B39:D39"/>
    <mergeCell ref="B46:D46"/>
    <mergeCell ref="B50:D50"/>
    <mergeCell ref="B41:D41"/>
    <mergeCell ref="B23:D23"/>
    <mergeCell ref="B4:G4"/>
    <mergeCell ref="B6:D6"/>
    <mergeCell ref="B7:D7"/>
    <mergeCell ref="B18:D18"/>
    <mergeCell ref="B19:D19"/>
    <mergeCell ref="B13:D1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2" manualBreakCount="2">
    <brk id="22" max="16383" man="1"/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35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4.7109375" style="4" customWidth="1"/>
    <col min="5" max="5" width="9.140625" style="5"/>
    <col min="6" max="6" width="9.140625" style="5" customWidth="1"/>
    <col min="7" max="7" width="9.7109375" style="5" customWidth="1"/>
    <col min="8" max="8" width="3.5703125" style="6" customWidth="1"/>
    <col min="9" max="9" width="8.42578125" style="34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46</v>
      </c>
      <c r="C2" s="8" t="s">
        <v>51</v>
      </c>
      <c r="D2" s="8" t="s">
        <v>47</v>
      </c>
      <c r="E2" s="9" t="s">
        <v>48</v>
      </c>
      <c r="F2" s="9" t="s">
        <v>49</v>
      </c>
      <c r="G2" s="9" t="s">
        <v>50</v>
      </c>
      <c r="I2" s="35" t="s">
        <v>56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36"/>
    </row>
    <row r="4" spans="1:9" ht="15.75" x14ac:dyDescent="0.2">
      <c r="B4" s="143" t="s">
        <v>109</v>
      </c>
      <c r="C4" s="143"/>
      <c r="D4" s="143"/>
      <c r="E4" s="143"/>
      <c r="F4" s="143"/>
      <c r="G4" s="143"/>
    </row>
    <row r="5" spans="1:9" x14ac:dyDescent="0.2">
      <c r="E5" s="15"/>
      <c r="F5" s="15"/>
      <c r="G5" s="15"/>
    </row>
    <row r="6" spans="1:9" ht="21.2" customHeight="1" x14ac:dyDescent="0.3">
      <c r="B6" s="144" t="s">
        <v>110</v>
      </c>
      <c r="C6" s="145"/>
      <c r="D6" s="145"/>
      <c r="E6" s="16"/>
      <c r="F6" s="16"/>
      <c r="G6" s="17"/>
    </row>
    <row r="7" spans="1:9" x14ac:dyDescent="0.2">
      <c r="E7" s="15"/>
      <c r="F7" s="15"/>
      <c r="G7" s="15"/>
    </row>
    <row r="8" spans="1:9" ht="51" x14ac:dyDescent="0.2">
      <c r="B8" s="18" t="s">
        <v>111</v>
      </c>
      <c r="C8" s="19" t="s">
        <v>20</v>
      </c>
      <c r="D8" s="20" t="s">
        <v>270</v>
      </c>
      <c r="E8" s="83">
        <v>200</v>
      </c>
      <c r="F8" s="107"/>
      <c r="G8" s="21" t="str">
        <f t="shared" ref="G8" si="0">IF(F8="","",E8*F8)</f>
        <v/>
      </c>
      <c r="I8" s="38">
        <v>10.199999999999999</v>
      </c>
    </row>
    <row r="9" spans="1:9" ht="38.25" x14ac:dyDescent="0.2">
      <c r="B9" s="18" t="s">
        <v>112</v>
      </c>
      <c r="C9" s="19" t="s">
        <v>20</v>
      </c>
      <c r="D9" s="20" t="s">
        <v>129</v>
      </c>
      <c r="E9" s="89">
        <f>+E8</f>
        <v>200</v>
      </c>
      <c r="F9" s="107"/>
      <c r="G9" s="21" t="str">
        <f t="shared" ref="G9" si="1">IF(F9="","",E9*F9)</f>
        <v/>
      </c>
      <c r="I9" s="40">
        <v>0</v>
      </c>
    </row>
    <row r="10" spans="1:9" x14ac:dyDescent="0.2">
      <c r="E10" s="15"/>
      <c r="F10" s="15"/>
      <c r="G10" s="15"/>
    </row>
    <row r="11" spans="1:9" ht="21.2" customHeight="1" x14ac:dyDescent="0.3">
      <c r="B11" s="144" t="s">
        <v>113</v>
      </c>
      <c r="C11" s="145"/>
      <c r="D11" s="145"/>
      <c r="E11" s="16"/>
      <c r="F11" s="16"/>
      <c r="G11" s="17"/>
    </row>
    <row r="12" spans="1:9" x14ac:dyDescent="0.2">
      <c r="E12" s="15"/>
      <c r="F12" s="15"/>
      <c r="G12" s="15"/>
    </row>
    <row r="13" spans="1:9" ht="63.75" x14ac:dyDescent="0.2">
      <c r="B13" s="18" t="s">
        <v>114</v>
      </c>
      <c r="C13" s="19" t="s">
        <v>20</v>
      </c>
      <c r="D13" s="20" t="s">
        <v>297</v>
      </c>
      <c r="E13" s="83">
        <v>140</v>
      </c>
      <c r="F13" s="107"/>
      <c r="G13" s="21" t="str">
        <f t="shared" ref="G13:G16" si="2">IF(F13="","",E13*F13)</f>
        <v/>
      </c>
      <c r="I13" s="37">
        <v>29.36</v>
      </c>
    </row>
    <row r="14" spans="1:9" ht="63.75" x14ac:dyDescent="0.2">
      <c r="B14" s="18" t="s">
        <v>115</v>
      </c>
      <c r="C14" s="19" t="s">
        <v>20</v>
      </c>
      <c r="D14" s="20" t="s">
        <v>295</v>
      </c>
      <c r="E14" s="83">
        <v>110</v>
      </c>
      <c r="F14" s="107"/>
      <c r="G14" s="21" t="str">
        <f t="shared" si="2"/>
        <v/>
      </c>
      <c r="I14" s="37">
        <v>43.66</v>
      </c>
    </row>
    <row r="15" spans="1:9" ht="51" x14ac:dyDescent="0.2">
      <c r="B15" s="18" t="s">
        <v>116</v>
      </c>
      <c r="C15" s="19" t="s">
        <v>20</v>
      </c>
      <c r="D15" s="20" t="s">
        <v>296</v>
      </c>
      <c r="E15" s="83">
        <f>+E13</f>
        <v>140</v>
      </c>
      <c r="F15" s="107"/>
      <c r="G15" s="21" t="str">
        <f t="shared" si="2"/>
        <v/>
      </c>
      <c r="I15" s="37">
        <v>3.5</v>
      </c>
    </row>
    <row r="16" spans="1:9" ht="51" x14ac:dyDescent="0.2">
      <c r="B16" s="18" t="s">
        <v>117</v>
      </c>
      <c r="C16" s="19" t="s">
        <v>20</v>
      </c>
      <c r="D16" s="20" t="s">
        <v>298</v>
      </c>
      <c r="E16" s="83">
        <f>E14</f>
        <v>110</v>
      </c>
      <c r="F16" s="107"/>
      <c r="G16" s="21" t="str">
        <f t="shared" si="2"/>
        <v/>
      </c>
      <c r="I16" s="37">
        <v>4</v>
      </c>
    </row>
    <row r="17" spans="1:9" ht="63.75" x14ac:dyDescent="0.2">
      <c r="B17" s="18" t="s">
        <v>118</v>
      </c>
      <c r="C17" s="19" t="s">
        <v>20</v>
      </c>
      <c r="D17" s="20" t="s">
        <v>273</v>
      </c>
      <c r="E17" s="83">
        <f>+E13</f>
        <v>140</v>
      </c>
      <c r="F17" s="107"/>
      <c r="G17" s="21" t="str">
        <f t="shared" ref="G17:G19" si="3">IF(F17="","",E17*F17)</f>
        <v/>
      </c>
      <c r="I17" s="39">
        <v>3.6</v>
      </c>
    </row>
    <row r="18" spans="1:9" ht="63.75" x14ac:dyDescent="0.2">
      <c r="B18" s="18" t="s">
        <v>119</v>
      </c>
      <c r="C18" s="19" t="s">
        <v>20</v>
      </c>
      <c r="D18" s="20" t="s">
        <v>274</v>
      </c>
      <c r="E18" s="83">
        <f>+E14</f>
        <v>110</v>
      </c>
      <c r="F18" s="107"/>
      <c r="G18" s="21" t="str">
        <f t="shared" si="3"/>
        <v/>
      </c>
      <c r="I18" s="39">
        <v>3.6</v>
      </c>
    </row>
    <row r="19" spans="1:9" ht="51" x14ac:dyDescent="0.2">
      <c r="B19" s="18" t="s">
        <v>120</v>
      </c>
      <c r="C19" s="19" t="s">
        <v>20</v>
      </c>
      <c r="D19" s="20" t="s">
        <v>275</v>
      </c>
      <c r="E19" s="83">
        <f>E17+E18</f>
        <v>250</v>
      </c>
      <c r="F19" s="107"/>
      <c r="G19" s="21" t="str">
        <f t="shared" si="3"/>
        <v/>
      </c>
      <c r="I19" s="37">
        <v>1.04</v>
      </c>
    </row>
    <row r="20" spans="1:9" s="117" customFormat="1" ht="51" x14ac:dyDescent="0.2">
      <c r="A20" s="109"/>
      <c r="B20" s="110" t="s">
        <v>232</v>
      </c>
      <c r="C20" s="111" t="s">
        <v>4</v>
      </c>
      <c r="D20" s="108" t="s">
        <v>299</v>
      </c>
      <c r="E20" s="89">
        <v>11</v>
      </c>
      <c r="F20" s="118"/>
      <c r="G20" s="83" t="str">
        <f t="shared" ref="G20" si="4">IF(F20="","",E20*F20)</f>
        <v/>
      </c>
      <c r="I20" s="30"/>
    </row>
    <row r="21" spans="1:9" x14ac:dyDescent="0.2">
      <c r="B21" s="113"/>
      <c r="C21" s="114"/>
      <c r="D21" s="115"/>
      <c r="E21" s="116"/>
      <c r="F21" s="116"/>
      <c r="G21" s="116"/>
      <c r="I21" s="28"/>
    </row>
    <row r="22" spans="1:9" ht="21.2" customHeight="1" x14ac:dyDescent="0.3">
      <c r="B22" s="144" t="s">
        <v>121</v>
      </c>
      <c r="C22" s="145"/>
      <c r="D22" s="145"/>
      <c r="E22" s="16"/>
      <c r="F22" s="16"/>
      <c r="G22" s="17"/>
    </row>
    <row r="23" spans="1:9" ht="21.2" customHeight="1" x14ac:dyDescent="0.3">
      <c r="B23" s="126"/>
      <c r="C23" s="126"/>
      <c r="D23" s="126"/>
      <c r="E23" s="127"/>
      <c r="F23" s="127"/>
      <c r="G23" s="127"/>
      <c r="I23" s="43"/>
    </row>
    <row r="24" spans="1:9" ht="63.75" x14ac:dyDescent="0.2">
      <c r="B24" s="110" t="s">
        <v>122</v>
      </c>
      <c r="C24" s="111" t="s">
        <v>4</v>
      </c>
      <c r="D24" s="108" t="s">
        <v>300</v>
      </c>
      <c r="E24" s="83">
        <f>E26+E27</f>
        <v>25</v>
      </c>
      <c r="F24" s="118"/>
      <c r="G24" s="21" t="str">
        <f t="shared" ref="G24" si="5">IF(F24="","",E24*F24)</f>
        <v/>
      </c>
      <c r="I24" s="44">
        <v>0</v>
      </c>
    </row>
    <row r="25" spans="1:9" ht="51" x14ac:dyDescent="0.2">
      <c r="B25" s="18" t="s">
        <v>123</v>
      </c>
      <c r="C25" s="19" t="s">
        <v>4</v>
      </c>
      <c r="D25" s="128" t="s">
        <v>261</v>
      </c>
      <c r="E25" s="83">
        <f>+E33</f>
        <v>10</v>
      </c>
      <c r="F25" s="107"/>
      <c r="G25" s="21" t="str">
        <f t="shared" ref="G25:G28" si="6">IF(F25="","",E25*F25)</f>
        <v/>
      </c>
      <c r="I25" s="45">
        <v>286.8</v>
      </c>
    </row>
    <row r="26" spans="1:9" ht="38.25" x14ac:dyDescent="0.2">
      <c r="B26" s="18" t="s">
        <v>124</v>
      </c>
      <c r="C26" s="19" t="s">
        <v>4</v>
      </c>
      <c r="D26" s="128" t="s">
        <v>262</v>
      </c>
      <c r="E26" s="83">
        <v>5</v>
      </c>
      <c r="F26" s="107"/>
      <c r="G26" s="21" t="str">
        <f t="shared" si="6"/>
        <v/>
      </c>
      <c r="I26" s="44">
        <v>0</v>
      </c>
    </row>
    <row r="27" spans="1:9" ht="38.25" x14ac:dyDescent="0.2">
      <c r="B27" s="18" t="s">
        <v>125</v>
      </c>
      <c r="C27" s="19" t="s">
        <v>4</v>
      </c>
      <c r="D27" s="128" t="s">
        <v>263</v>
      </c>
      <c r="E27" s="83">
        <v>20</v>
      </c>
      <c r="F27" s="107"/>
      <c r="G27" s="21" t="str">
        <f t="shared" ref="G27" si="7">IF(F27="","",E27*F27)</f>
        <v/>
      </c>
      <c r="I27" s="45">
        <v>289</v>
      </c>
    </row>
    <row r="28" spans="1:9" ht="63.75" x14ac:dyDescent="0.2">
      <c r="B28" s="18" t="s">
        <v>126</v>
      </c>
      <c r="C28" s="19" t="s">
        <v>259</v>
      </c>
      <c r="D28" s="20" t="s">
        <v>255</v>
      </c>
      <c r="E28" s="83">
        <v>2</v>
      </c>
      <c r="F28" s="107"/>
      <c r="G28" s="21" t="str">
        <f t="shared" si="6"/>
        <v/>
      </c>
      <c r="I28" s="44">
        <v>0</v>
      </c>
    </row>
    <row r="29" spans="1:9" ht="39.75" x14ac:dyDescent="0.2">
      <c r="B29" s="18" t="s">
        <v>233</v>
      </c>
      <c r="C29" s="19" t="s">
        <v>259</v>
      </c>
      <c r="D29" s="20" t="s">
        <v>302</v>
      </c>
      <c r="E29" s="83">
        <v>2</v>
      </c>
      <c r="F29" s="107"/>
      <c r="G29" s="21" t="str">
        <f t="shared" ref="G29" si="8">IF(F29="","",E29*F29)</f>
        <v/>
      </c>
      <c r="I29" s="42">
        <v>0</v>
      </c>
    </row>
    <row r="30" spans="1:9" x14ac:dyDescent="0.2">
      <c r="E30" s="15" t="str">
        <f>IF(SUM(E33:E33)=0,0,"")</f>
        <v/>
      </c>
      <c r="F30" s="15"/>
      <c r="G30" s="15"/>
    </row>
    <row r="31" spans="1:9" ht="21.2" customHeight="1" x14ac:dyDescent="0.3">
      <c r="B31" s="144" t="s">
        <v>127</v>
      </c>
      <c r="C31" s="145"/>
      <c r="D31" s="145"/>
      <c r="E31" s="16" t="str">
        <f>IF(SUM(E33:E33)=0,0,"")</f>
        <v/>
      </c>
      <c r="F31" s="16"/>
      <c r="G31" s="17"/>
    </row>
    <row r="32" spans="1:9" x14ac:dyDescent="0.2">
      <c r="E32" s="15" t="str">
        <f>IF(SUM(E33:E33)=0,0,"")</f>
        <v/>
      </c>
      <c r="F32" s="15"/>
      <c r="G32" s="15"/>
    </row>
    <row r="33" spans="2:9" ht="38.25" x14ac:dyDescent="0.2">
      <c r="B33" s="18" t="s">
        <v>128</v>
      </c>
      <c r="C33" s="19" t="s">
        <v>4</v>
      </c>
      <c r="D33" s="20" t="s">
        <v>301</v>
      </c>
      <c r="E33" s="83">
        <v>10</v>
      </c>
      <c r="F33" s="107"/>
      <c r="G33" s="21" t="str">
        <f t="shared" ref="G33" si="9">IF(F33="","",E33*F33)</f>
        <v/>
      </c>
      <c r="I33" s="41">
        <v>0</v>
      </c>
    </row>
    <row r="34" spans="2:9" ht="13.5" thickBot="1" x14ac:dyDescent="0.25">
      <c r="B34" s="113"/>
      <c r="C34" s="114"/>
      <c r="D34" s="115"/>
      <c r="E34" s="116"/>
      <c r="F34" s="116"/>
      <c r="G34" s="116"/>
      <c r="I34" s="28"/>
    </row>
    <row r="35" spans="2:9" ht="16.5" thickBot="1" x14ac:dyDescent="0.25">
      <c r="D35" s="26" t="s">
        <v>145</v>
      </c>
      <c r="E35" s="27"/>
      <c r="F35" s="141" t="str">
        <f>IF(SUM(G5:G33)=0,"",SUM(G5:G33))</f>
        <v/>
      </c>
      <c r="G35" s="142"/>
    </row>
  </sheetData>
  <sheetProtection algorithmName="SHA-512" hashValue="xLi9be1bC6CXW2Xto+IZYHh9NcdwJht3ZSAf0WjiBeboLQJ8Efk7wWGRJhn3F9Z9GyLOUT2BYuiE5BNYQM10mQ==" saltValue="QzSBMnV5Y60TlS9wQ8sKyQ==" spinCount="100000" sheet="1" objects="1" scenarios="1"/>
  <autoFilter ref="E1:G35">
    <filterColumn colId="0">
      <filters blank="1">
        <filter val="1,00"/>
        <filter val="10,00"/>
        <filter val="100,00"/>
        <filter val="11,00"/>
        <filter val="140,00"/>
        <filter val="20,00"/>
        <filter val="200,00"/>
        <filter val="240,00"/>
        <filter val="25,00"/>
        <filter val="5,00"/>
        <filter val="količina"/>
      </filters>
    </filterColumn>
  </autoFilter>
  <dataConsolidate/>
  <mergeCells count="6">
    <mergeCell ref="B4:G4"/>
    <mergeCell ref="B31:D31"/>
    <mergeCell ref="F35:G35"/>
    <mergeCell ref="B6:D6"/>
    <mergeCell ref="B11:D11"/>
    <mergeCell ref="B22:D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2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129"/>
    <col min="6" max="6" width="9.140625" style="5" customWidth="1"/>
    <col min="7" max="7" width="9.7109375" style="5" customWidth="1"/>
    <col min="8" max="8" width="4" style="6" customWidth="1"/>
    <col min="9" max="9" width="16.85546875" style="31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46</v>
      </c>
      <c r="C2" s="8" t="s">
        <v>51</v>
      </c>
      <c r="D2" s="8" t="s">
        <v>47</v>
      </c>
      <c r="E2" s="130" t="s">
        <v>48</v>
      </c>
      <c r="F2" s="9" t="s">
        <v>49</v>
      </c>
      <c r="G2" s="9" t="s">
        <v>50</v>
      </c>
      <c r="I2" s="32" t="s">
        <v>56</v>
      </c>
    </row>
    <row r="3" spans="1:9" s="14" customFormat="1" x14ac:dyDescent="0.2">
      <c r="A3" s="10"/>
      <c r="B3" s="11"/>
      <c r="C3" s="11"/>
      <c r="D3" s="12"/>
      <c r="E3" s="131"/>
      <c r="F3" s="13"/>
      <c r="G3" s="13"/>
      <c r="I3" s="33"/>
    </row>
    <row r="4" spans="1:9" ht="15.75" x14ac:dyDescent="0.2">
      <c r="B4" s="143" t="s">
        <v>130</v>
      </c>
      <c r="C4" s="143"/>
      <c r="D4" s="143"/>
      <c r="E4" s="149"/>
      <c r="F4" s="143"/>
      <c r="G4" s="143"/>
    </row>
    <row r="5" spans="1:9" ht="12.75" customHeight="1" x14ac:dyDescent="0.2">
      <c r="B5" s="90"/>
      <c r="C5" s="90"/>
      <c r="D5" s="90"/>
      <c r="E5" s="132" t="str">
        <f>IF(SUM(E8:E11)=0,0,"")</f>
        <v/>
      </c>
      <c r="F5" s="133"/>
      <c r="G5" s="133"/>
    </row>
    <row r="6" spans="1:9" ht="21.2" customHeight="1" x14ac:dyDescent="0.3">
      <c r="B6" s="144" t="s">
        <v>131</v>
      </c>
      <c r="C6" s="145"/>
      <c r="D6" s="145"/>
      <c r="E6" s="134" t="str">
        <f>IF(SUM(E8:E11)=0,0,"")</f>
        <v/>
      </c>
      <c r="F6" s="16"/>
      <c r="G6" s="17"/>
    </row>
    <row r="7" spans="1:9" x14ac:dyDescent="0.2">
      <c r="E7" s="132" t="str">
        <f>IF(SUM(E8:E11)=0,0,"")</f>
        <v/>
      </c>
      <c r="F7" s="133"/>
      <c r="G7" s="133"/>
    </row>
    <row r="8" spans="1:9" ht="38.25" x14ac:dyDescent="0.2">
      <c r="B8" s="18" t="s">
        <v>132</v>
      </c>
      <c r="C8" s="19" t="s">
        <v>9</v>
      </c>
      <c r="D8" s="20" t="s">
        <v>309</v>
      </c>
      <c r="E8" s="83">
        <f>(8*0.55)*2</f>
        <v>8.8000000000000007</v>
      </c>
      <c r="F8" s="107"/>
      <c r="G8" s="21" t="str">
        <f t="shared" ref="G8:G11" si="0">IF(F8="","",E8*F8)</f>
        <v/>
      </c>
      <c r="I8" s="31">
        <v>5</v>
      </c>
    </row>
    <row r="9" spans="1:9" ht="38.25" x14ac:dyDescent="0.2">
      <c r="B9" s="18" t="s">
        <v>133</v>
      </c>
      <c r="C9" s="19" t="s">
        <v>9</v>
      </c>
      <c r="D9" s="20" t="s">
        <v>308</v>
      </c>
      <c r="E9" s="83">
        <f>(2*0.55)*2</f>
        <v>2.2000000000000002</v>
      </c>
      <c r="F9" s="107"/>
      <c r="G9" s="21" t="str">
        <f t="shared" si="0"/>
        <v/>
      </c>
      <c r="I9" s="31">
        <v>0</v>
      </c>
    </row>
    <row r="10" spans="1:9" ht="38.25" x14ac:dyDescent="0.2">
      <c r="B10" s="18" t="s">
        <v>134</v>
      </c>
      <c r="C10" s="19" t="s">
        <v>9</v>
      </c>
      <c r="D10" s="20" t="s">
        <v>306</v>
      </c>
      <c r="E10" s="83">
        <f>(8*1.1)*2</f>
        <v>17.600000000000001</v>
      </c>
      <c r="F10" s="107"/>
      <c r="G10" s="21" t="str">
        <f t="shared" si="0"/>
        <v/>
      </c>
      <c r="I10" s="31">
        <v>8</v>
      </c>
    </row>
    <row r="11" spans="1:9" ht="38.25" x14ac:dyDescent="0.2">
      <c r="B11" s="18" t="s">
        <v>135</v>
      </c>
      <c r="C11" s="19" t="s">
        <v>9</v>
      </c>
      <c r="D11" s="20" t="s">
        <v>307</v>
      </c>
      <c r="E11" s="83">
        <f>(2*1.1)*2</f>
        <v>4.4000000000000004</v>
      </c>
      <c r="F11" s="107"/>
      <c r="G11" s="21" t="str">
        <f t="shared" si="0"/>
        <v/>
      </c>
      <c r="I11" s="31">
        <v>0</v>
      </c>
    </row>
    <row r="12" spans="1:9" x14ac:dyDescent="0.2">
      <c r="E12" s="112" t="str">
        <f>IF(SUM(E15:E16)=0,0,"")</f>
        <v/>
      </c>
      <c r="F12" s="15"/>
      <c r="G12" s="15"/>
    </row>
    <row r="13" spans="1:9" ht="21.2" customHeight="1" x14ac:dyDescent="0.3">
      <c r="B13" s="144" t="s">
        <v>136</v>
      </c>
      <c r="C13" s="145"/>
      <c r="D13" s="145"/>
      <c r="E13" s="134" t="str">
        <f>IF(SUM(E15:E16)=0,0,"")</f>
        <v/>
      </c>
      <c r="F13" s="16"/>
      <c r="G13" s="17"/>
    </row>
    <row r="14" spans="1:9" x14ac:dyDescent="0.2">
      <c r="E14" s="112" t="str">
        <f>IF(SUM(E15:E16)=0,0,"")</f>
        <v/>
      </c>
      <c r="F14" s="15"/>
      <c r="G14" s="15"/>
    </row>
    <row r="15" spans="1:9" ht="51" x14ac:dyDescent="0.2">
      <c r="B15" s="18" t="s">
        <v>137</v>
      </c>
      <c r="C15" s="19" t="s">
        <v>21</v>
      </c>
      <c r="D15" s="20" t="s">
        <v>304</v>
      </c>
      <c r="E15" s="83">
        <v>450</v>
      </c>
      <c r="F15" s="107"/>
      <c r="G15" s="21" t="str">
        <f t="shared" ref="G15" si="1">IF(F15="","",E15*F15)</f>
        <v/>
      </c>
      <c r="I15" s="31">
        <v>2.5</v>
      </c>
    </row>
    <row r="16" spans="1:9" ht="38.25" x14ac:dyDescent="0.2">
      <c r="B16" s="18" t="s">
        <v>217</v>
      </c>
      <c r="C16" s="19" t="s">
        <v>4</v>
      </c>
      <c r="D16" s="20" t="s">
        <v>305</v>
      </c>
      <c r="E16" s="83">
        <v>2</v>
      </c>
      <c r="F16" s="107"/>
      <c r="G16" s="21" t="str">
        <f t="shared" ref="G16" si="2">IF(F16="","",E16*F16)</f>
        <v/>
      </c>
      <c r="I16" s="31">
        <v>0</v>
      </c>
    </row>
    <row r="17" spans="2:9" x14ac:dyDescent="0.2">
      <c r="E17" s="112" t="str">
        <f>IF(SUM(E20:E24)=0,0,"")</f>
        <v/>
      </c>
      <c r="F17" s="15"/>
      <c r="G17" s="15"/>
    </row>
    <row r="18" spans="2:9" ht="21.2" customHeight="1" x14ac:dyDescent="0.3">
      <c r="B18" s="144" t="s">
        <v>138</v>
      </c>
      <c r="C18" s="145"/>
      <c r="D18" s="145"/>
      <c r="E18" s="134" t="str">
        <f>IF(SUM(E20:E24)=0,0,"")</f>
        <v/>
      </c>
      <c r="F18" s="16"/>
      <c r="G18" s="17"/>
    </row>
    <row r="19" spans="2:9" x14ac:dyDescent="0.2">
      <c r="E19" s="112" t="str">
        <f>IF(SUM(E20:E24)=0,0,"")</f>
        <v/>
      </c>
      <c r="F19" s="15"/>
      <c r="G19" s="15"/>
    </row>
    <row r="20" spans="2:9" ht="63.75" x14ac:dyDescent="0.2">
      <c r="B20" s="18" t="s">
        <v>139</v>
      </c>
      <c r="C20" s="19" t="s">
        <v>23</v>
      </c>
      <c r="D20" s="20" t="s">
        <v>310</v>
      </c>
      <c r="E20" s="83">
        <v>1</v>
      </c>
      <c r="F20" s="107"/>
      <c r="G20" s="21" t="str">
        <f t="shared" ref="G20" si="3">IF(F20="","",E20*F20)</f>
        <v/>
      </c>
      <c r="I20" s="31">
        <v>0</v>
      </c>
    </row>
    <row r="21" spans="2:9" ht="76.5" x14ac:dyDescent="0.2">
      <c r="B21" s="18" t="s">
        <v>140</v>
      </c>
      <c r="C21" s="19" t="s">
        <v>23</v>
      </c>
      <c r="D21" s="20" t="s">
        <v>311</v>
      </c>
      <c r="E21" s="83">
        <f>0.5*10</f>
        <v>5</v>
      </c>
      <c r="F21" s="107"/>
      <c r="G21" s="21" t="str">
        <f t="shared" ref="G21:G22" si="4">IF(F21="","",E21*F21)</f>
        <v/>
      </c>
      <c r="I21" s="31">
        <v>0</v>
      </c>
    </row>
    <row r="22" spans="2:9" ht="76.5" x14ac:dyDescent="0.2">
      <c r="B22" s="18" t="s">
        <v>141</v>
      </c>
      <c r="C22" s="19" t="s">
        <v>23</v>
      </c>
      <c r="D22" s="20" t="s">
        <v>312</v>
      </c>
      <c r="E22" s="83">
        <f>0.25*10</f>
        <v>2.5</v>
      </c>
      <c r="F22" s="107"/>
      <c r="G22" s="21" t="str">
        <f t="shared" si="4"/>
        <v/>
      </c>
      <c r="I22" s="31">
        <v>0</v>
      </c>
    </row>
    <row r="23" spans="2:9" ht="165.75" x14ac:dyDescent="0.2">
      <c r="B23" s="18" t="s">
        <v>142</v>
      </c>
      <c r="C23" s="19" t="s">
        <v>4</v>
      </c>
      <c r="D23" s="136" t="s">
        <v>336</v>
      </c>
      <c r="E23" s="21">
        <v>6</v>
      </c>
      <c r="F23" s="107"/>
      <c r="G23" s="21" t="str">
        <f t="shared" ref="G23:G24" si="5">IF(F23="","",E23*F23)</f>
        <v/>
      </c>
      <c r="I23" s="31">
        <v>0</v>
      </c>
    </row>
    <row r="24" spans="2:9" ht="153" x14ac:dyDescent="0.2">
      <c r="B24" s="18" t="s">
        <v>143</v>
      </c>
      <c r="C24" s="19" t="s">
        <v>23</v>
      </c>
      <c r="D24" s="108" t="s">
        <v>335</v>
      </c>
      <c r="E24" s="83">
        <f>15*0.5</f>
        <v>7.5</v>
      </c>
      <c r="F24" s="118"/>
      <c r="G24" s="21" t="str">
        <f t="shared" si="5"/>
        <v/>
      </c>
      <c r="I24" s="31">
        <v>0</v>
      </c>
    </row>
    <row r="25" spans="2:9" ht="13.5" thickBot="1" x14ac:dyDescent="0.25"/>
    <row r="26" spans="2:9" ht="16.5" thickBot="1" x14ac:dyDescent="0.25">
      <c r="D26" s="26" t="s">
        <v>144</v>
      </c>
      <c r="E26" s="135"/>
      <c r="F26" s="141" t="str">
        <f>IF(SUM(G8:G24)=0,"",SUM(G8:G24))</f>
        <v/>
      </c>
      <c r="G26" s="142"/>
    </row>
  </sheetData>
  <sheetProtection algorithmName="SHA-512" hashValue="qFbhAP915DfBxHIAXon516PvcERriujJWuW0jhnKoGMb6aAr/fPYolWWO9t6KaWltkIp/V/6k/ff2ril35uSVg==" saltValue="AXZc0RXIlEegNro1HVMGYw==" spinCount="100000" sheet="1" objects="1" scenarios="1"/>
  <autoFilter ref="E1:G26">
    <filterColumn colId="0">
      <filters blank="1">
        <filter val="1,00"/>
        <filter val="17,60"/>
        <filter val="2,00"/>
        <filter val="2,20"/>
        <filter val="2,50"/>
        <filter val="4,00"/>
        <filter val="4,40"/>
        <filter val="450,00"/>
        <filter val="5,00"/>
        <filter val="7,50"/>
        <filter val="8,80"/>
        <filter val="količina"/>
      </filters>
    </filterColumn>
  </autoFilter>
  <dataConsolidate/>
  <mergeCells count="5">
    <mergeCell ref="F26:G26"/>
    <mergeCell ref="B4:G4"/>
    <mergeCell ref="B13:D13"/>
    <mergeCell ref="B6:D6"/>
    <mergeCell ref="B18:D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38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285156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4" style="6" customWidth="1"/>
    <col min="9" max="9" width="16.85546875" style="85" hidden="1" customWidth="1"/>
    <col min="10" max="10" width="9.140625" style="6" customWidth="1"/>
    <col min="11" max="16384" width="9.140625" style="6"/>
  </cols>
  <sheetData>
    <row r="1" spans="1:9" ht="12.75" customHeight="1" x14ac:dyDescent="0.2">
      <c r="A1" s="1"/>
    </row>
    <row r="2" spans="1:9" ht="24.95" customHeight="1" x14ac:dyDescent="0.2">
      <c r="B2" s="8" t="s">
        <v>46</v>
      </c>
      <c r="C2" s="8" t="s">
        <v>51</v>
      </c>
      <c r="D2" s="8" t="s">
        <v>47</v>
      </c>
      <c r="E2" s="9" t="s">
        <v>48</v>
      </c>
      <c r="F2" s="9" t="s">
        <v>49</v>
      </c>
      <c r="G2" s="9" t="s">
        <v>50</v>
      </c>
      <c r="I2" s="86" t="s">
        <v>56</v>
      </c>
    </row>
    <row r="3" spans="1:9" s="14" customFormat="1" ht="12.75" customHeight="1" x14ac:dyDescent="0.2">
      <c r="A3" s="10"/>
      <c r="B3" s="11"/>
      <c r="C3" s="11"/>
      <c r="D3" s="12"/>
      <c r="E3" s="13"/>
      <c r="F3" s="13"/>
      <c r="G3" s="13"/>
      <c r="I3" s="87"/>
    </row>
    <row r="4" spans="1:9" ht="15.75" x14ac:dyDescent="0.2">
      <c r="B4" s="143" t="s">
        <v>149</v>
      </c>
      <c r="C4" s="143"/>
      <c r="D4" s="143"/>
      <c r="E4" s="143"/>
      <c r="F4" s="143"/>
      <c r="G4" s="143"/>
    </row>
    <row r="5" spans="1:9" ht="12.75" customHeight="1" x14ac:dyDescent="0.2">
      <c r="B5" s="90"/>
      <c r="C5" s="90"/>
      <c r="D5" s="90"/>
      <c r="E5" s="119" t="str">
        <f>IF(SUM(E8:E16)=0,0,"")</f>
        <v/>
      </c>
      <c r="F5" s="119"/>
      <c r="G5" s="119" t="s">
        <v>318</v>
      </c>
    </row>
    <row r="6" spans="1:9" ht="21.2" customHeight="1" x14ac:dyDescent="0.3">
      <c r="B6" s="144" t="s">
        <v>150</v>
      </c>
      <c r="C6" s="145"/>
      <c r="D6" s="145"/>
      <c r="E6" s="16" t="str">
        <f>IF(SUM(E8:E16)=0,0,"")</f>
        <v/>
      </c>
      <c r="F6" s="16"/>
      <c r="G6" s="17" t="s">
        <v>318</v>
      </c>
    </row>
    <row r="7" spans="1:9" ht="12.75" customHeight="1" x14ac:dyDescent="0.2">
      <c r="E7" s="133" t="str">
        <f>IF(SUM(E8:E16)=0,0,"")</f>
        <v/>
      </c>
      <c r="F7" s="133"/>
      <c r="G7" s="133" t="s">
        <v>318</v>
      </c>
    </row>
    <row r="8" spans="1:9" ht="38.25" x14ac:dyDescent="0.2">
      <c r="B8" s="18" t="s">
        <v>151</v>
      </c>
      <c r="C8" s="19" t="s">
        <v>4</v>
      </c>
      <c r="D8" s="20" t="s">
        <v>258</v>
      </c>
      <c r="E8" s="83">
        <v>1</v>
      </c>
      <c r="F8" s="107"/>
      <c r="G8" s="21" t="str">
        <f t="shared" ref="G8:G11" si="0">IF(F8="","",E8*F8)</f>
        <v/>
      </c>
      <c r="I8" s="85">
        <v>30</v>
      </c>
    </row>
    <row r="9" spans="1:9" ht="51" x14ac:dyDescent="0.2">
      <c r="B9" s="18" t="s">
        <v>241</v>
      </c>
      <c r="C9" s="19" t="s">
        <v>4</v>
      </c>
      <c r="D9" s="20" t="s">
        <v>268</v>
      </c>
      <c r="E9" s="83">
        <v>4</v>
      </c>
      <c r="F9" s="107"/>
      <c r="G9" s="21" t="str">
        <f t="shared" si="0"/>
        <v/>
      </c>
      <c r="I9" s="85">
        <v>0</v>
      </c>
    </row>
    <row r="10" spans="1:9" ht="38.25" x14ac:dyDescent="0.2">
      <c r="B10" s="18" t="s">
        <v>152</v>
      </c>
      <c r="C10" s="19" t="s">
        <v>4</v>
      </c>
      <c r="D10" s="20" t="s">
        <v>257</v>
      </c>
      <c r="E10" s="83">
        <v>1</v>
      </c>
      <c r="F10" s="107"/>
      <c r="G10" s="21" t="str">
        <f t="shared" si="0"/>
        <v/>
      </c>
      <c r="I10" s="85">
        <v>0</v>
      </c>
    </row>
    <row r="11" spans="1:9" ht="38.25" x14ac:dyDescent="0.2">
      <c r="B11" s="18" t="s">
        <v>153</v>
      </c>
      <c r="C11" s="19" t="s">
        <v>4</v>
      </c>
      <c r="D11" s="20" t="s">
        <v>256</v>
      </c>
      <c r="E11" s="83">
        <v>4</v>
      </c>
      <c r="F11" s="107"/>
      <c r="G11" s="21" t="str">
        <f t="shared" si="0"/>
        <v/>
      </c>
      <c r="I11" s="85">
        <v>0</v>
      </c>
    </row>
    <row r="12" spans="1:9" ht="51" x14ac:dyDescent="0.2">
      <c r="B12" s="18" t="s">
        <v>154</v>
      </c>
      <c r="C12" s="19" t="s">
        <v>4</v>
      </c>
      <c r="D12" s="20" t="s">
        <v>316</v>
      </c>
      <c r="E12" s="83">
        <v>1</v>
      </c>
      <c r="F12" s="107"/>
      <c r="G12" s="21" t="str">
        <f t="shared" ref="G12" si="1">IF(F12="","",E12*F12)</f>
        <v/>
      </c>
      <c r="I12" s="85">
        <v>0</v>
      </c>
    </row>
    <row r="13" spans="1:9" ht="51" x14ac:dyDescent="0.2">
      <c r="B13" s="18" t="s">
        <v>155</v>
      </c>
      <c r="C13" s="19" t="s">
        <v>4</v>
      </c>
      <c r="D13" s="20" t="s">
        <v>266</v>
      </c>
      <c r="E13" s="83">
        <v>1</v>
      </c>
      <c r="F13" s="107"/>
      <c r="G13" s="21" t="str">
        <f t="shared" ref="G13:G16" si="2">IF(F13="","",E13*F13)</f>
        <v/>
      </c>
      <c r="I13" s="85">
        <v>105</v>
      </c>
    </row>
    <row r="14" spans="1:9" ht="51" x14ac:dyDescent="0.2">
      <c r="B14" s="18" t="s">
        <v>156</v>
      </c>
      <c r="C14" s="19" t="s">
        <v>4</v>
      </c>
      <c r="D14" s="20" t="s">
        <v>314</v>
      </c>
      <c r="E14" s="83">
        <v>1</v>
      </c>
      <c r="F14" s="107"/>
      <c r="G14" s="21" t="str">
        <f t="shared" si="2"/>
        <v/>
      </c>
      <c r="I14" s="85">
        <v>125</v>
      </c>
    </row>
    <row r="15" spans="1:9" ht="51" x14ac:dyDescent="0.2">
      <c r="B15" s="18" t="s">
        <v>157</v>
      </c>
      <c r="C15" s="19" t="s">
        <v>4</v>
      </c>
      <c r="D15" s="20" t="s">
        <v>315</v>
      </c>
      <c r="E15" s="83">
        <v>3</v>
      </c>
      <c r="F15" s="107"/>
      <c r="G15" s="21" t="str">
        <f t="shared" si="2"/>
        <v/>
      </c>
      <c r="I15" s="85">
        <v>0</v>
      </c>
    </row>
    <row r="16" spans="1:9" ht="51" x14ac:dyDescent="0.2">
      <c r="B16" s="18" t="s">
        <v>158</v>
      </c>
      <c r="C16" s="19" t="s">
        <v>4</v>
      </c>
      <c r="D16" s="20" t="s">
        <v>313</v>
      </c>
      <c r="E16" s="83">
        <v>6</v>
      </c>
      <c r="F16" s="107"/>
      <c r="G16" s="21" t="str">
        <f t="shared" si="2"/>
        <v/>
      </c>
      <c r="I16" s="85">
        <v>150</v>
      </c>
    </row>
    <row r="17" spans="2:9" ht="12.75" customHeight="1" x14ac:dyDescent="0.2">
      <c r="E17" s="15" t="str">
        <f>IF(SUM(E20:E32)=0,0,"")</f>
        <v/>
      </c>
      <c r="F17" s="15"/>
      <c r="G17" s="15" t="s">
        <v>318</v>
      </c>
    </row>
    <row r="18" spans="2:9" ht="21.2" customHeight="1" x14ac:dyDescent="0.3">
      <c r="B18" s="144" t="s">
        <v>159</v>
      </c>
      <c r="C18" s="145"/>
      <c r="D18" s="145"/>
      <c r="E18" s="16" t="str">
        <f>IF(SUM(E20:E32)=0,0,"")</f>
        <v/>
      </c>
      <c r="F18" s="16"/>
      <c r="G18" s="17" t="s">
        <v>318</v>
      </c>
    </row>
    <row r="19" spans="2:9" ht="12.75" customHeight="1" x14ac:dyDescent="0.2">
      <c r="E19" s="15" t="str">
        <f>IF(SUM(E20:E32)=0,0,"")</f>
        <v/>
      </c>
      <c r="F19" s="15"/>
      <c r="G19" s="15" t="s">
        <v>318</v>
      </c>
    </row>
    <row r="20" spans="2:9" ht="63.75" x14ac:dyDescent="0.2">
      <c r="B20" s="18" t="s">
        <v>160</v>
      </c>
      <c r="C20" s="19" t="s">
        <v>20</v>
      </c>
      <c r="D20" s="20" t="s">
        <v>333</v>
      </c>
      <c r="E20" s="83">
        <f>(39*6)+(26*1)</f>
        <v>260</v>
      </c>
      <c r="F20" s="107"/>
      <c r="G20" s="21" t="str">
        <f>IF(F20="","",E20*F20)</f>
        <v/>
      </c>
      <c r="I20" s="85">
        <v>0</v>
      </c>
    </row>
    <row r="21" spans="2:9" ht="63.75" x14ac:dyDescent="0.2">
      <c r="B21" s="18" t="s">
        <v>161</v>
      </c>
      <c r="C21" s="19" t="s">
        <v>20</v>
      </c>
      <c r="D21" s="20" t="s">
        <v>332</v>
      </c>
      <c r="E21" s="83">
        <f>(560+170)-E23</f>
        <v>150</v>
      </c>
      <c r="F21" s="107"/>
      <c r="G21" s="21" t="str">
        <f t="shared" ref="G21" si="3">IF(F21="","",E21*F21)</f>
        <v/>
      </c>
      <c r="I21" s="85">
        <v>0</v>
      </c>
    </row>
    <row r="22" spans="2:9" ht="38.25" x14ac:dyDescent="0.2">
      <c r="B22" s="18" t="s">
        <v>162</v>
      </c>
      <c r="C22" s="19" t="s">
        <v>20</v>
      </c>
      <c r="D22" s="20" t="s">
        <v>324</v>
      </c>
      <c r="E22" s="83">
        <f>560-410</f>
        <v>150</v>
      </c>
      <c r="F22" s="107"/>
      <c r="G22" s="21" t="str">
        <f t="shared" ref="G22:G28" si="4">IF(F22="","",E22*F22)</f>
        <v/>
      </c>
      <c r="I22" s="85">
        <v>0</v>
      </c>
    </row>
    <row r="23" spans="2:9" ht="63.75" x14ac:dyDescent="0.2">
      <c r="B23" s="18" t="s">
        <v>163</v>
      </c>
      <c r="C23" s="19" t="s">
        <v>20</v>
      </c>
      <c r="D23" s="108" t="s">
        <v>330</v>
      </c>
      <c r="E23" s="83">
        <f>410+170</f>
        <v>580</v>
      </c>
      <c r="F23" s="107"/>
      <c r="G23" s="21" t="str">
        <f t="shared" si="4"/>
        <v/>
      </c>
      <c r="I23" s="85">
        <v>0</v>
      </c>
    </row>
    <row r="24" spans="2:9" ht="63.75" x14ac:dyDescent="0.2">
      <c r="B24" s="18" t="s">
        <v>164</v>
      </c>
      <c r="C24" s="19" t="s">
        <v>20</v>
      </c>
      <c r="D24" s="108" t="s">
        <v>331</v>
      </c>
      <c r="E24" s="83">
        <v>410</v>
      </c>
      <c r="F24" s="107"/>
      <c r="G24" s="21" t="str">
        <f t="shared" si="4"/>
        <v/>
      </c>
      <c r="I24" s="85">
        <v>0</v>
      </c>
    </row>
    <row r="25" spans="2:9" ht="89.25" x14ac:dyDescent="0.2">
      <c r="B25" s="18" t="s">
        <v>165</v>
      </c>
      <c r="C25" s="19" t="s">
        <v>9</v>
      </c>
      <c r="D25" s="20" t="s">
        <v>326</v>
      </c>
      <c r="E25" s="83">
        <f>0.25*12</f>
        <v>3</v>
      </c>
      <c r="F25" s="107"/>
      <c r="G25" s="21" t="str">
        <f t="shared" si="4"/>
        <v/>
      </c>
      <c r="I25" s="85">
        <v>0</v>
      </c>
    </row>
    <row r="26" spans="2:9" ht="89.25" x14ac:dyDescent="0.2">
      <c r="B26" s="18" t="s">
        <v>166</v>
      </c>
      <c r="C26" s="19" t="s">
        <v>9</v>
      </c>
      <c r="D26" s="20" t="s">
        <v>327</v>
      </c>
      <c r="E26" s="83">
        <f>0.75*12</f>
        <v>9</v>
      </c>
      <c r="F26" s="107"/>
      <c r="G26" s="21" t="str">
        <f t="shared" si="4"/>
        <v/>
      </c>
      <c r="I26" s="85">
        <v>0</v>
      </c>
    </row>
    <row r="27" spans="2:9" ht="89.25" x14ac:dyDescent="0.2">
      <c r="B27" s="18" t="s">
        <v>167</v>
      </c>
      <c r="C27" s="19" t="s">
        <v>9</v>
      </c>
      <c r="D27" s="20" t="s">
        <v>328</v>
      </c>
      <c r="E27" s="83">
        <f>24+23</f>
        <v>47</v>
      </c>
      <c r="F27" s="107"/>
      <c r="G27" s="21" t="str">
        <f t="shared" si="4"/>
        <v/>
      </c>
      <c r="I27" s="85">
        <v>30</v>
      </c>
    </row>
    <row r="28" spans="2:9" ht="89.25" x14ac:dyDescent="0.2">
      <c r="B28" s="18" t="s">
        <v>320</v>
      </c>
      <c r="C28" s="19" t="s">
        <v>9</v>
      </c>
      <c r="D28" s="20" t="s">
        <v>322</v>
      </c>
      <c r="E28" s="83">
        <f>2*5</f>
        <v>10</v>
      </c>
      <c r="F28" s="107"/>
      <c r="G28" s="21" t="str">
        <f t="shared" si="4"/>
        <v/>
      </c>
      <c r="I28" s="85">
        <v>0</v>
      </c>
    </row>
    <row r="29" spans="2:9" ht="89.25" x14ac:dyDescent="0.2">
      <c r="B29" s="18" t="s">
        <v>168</v>
      </c>
      <c r="C29" s="19" t="s">
        <v>9</v>
      </c>
      <c r="D29" s="20" t="s">
        <v>329</v>
      </c>
      <c r="E29" s="83">
        <f>7+7+7+7+7+9</f>
        <v>44</v>
      </c>
      <c r="F29" s="107"/>
      <c r="G29" s="21" t="str">
        <f t="shared" ref="G29" si="5">IF(F29="","",E29*F29)</f>
        <v/>
      </c>
      <c r="I29" s="85">
        <v>0</v>
      </c>
    </row>
    <row r="30" spans="2:9" ht="38.25" x14ac:dyDescent="0.2">
      <c r="B30" s="18" t="s">
        <v>169</v>
      </c>
      <c r="C30" s="19" t="s">
        <v>20</v>
      </c>
      <c r="D30" s="20" t="s">
        <v>325</v>
      </c>
      <c r="E30" s="83">
        <v>410</v>
      </c>
      <c r="F30" s="107"/>
      <c r="G30" s="21" t="str">
        <f t="shared" ref="G30:G32" si="6">IF(F30="","",E30*F30)</f>
        <v/>
      </c>
      <c r="I30" s="85">
        <v>0</v>
      </c>
    </row>
    <row r="31" spans="2:9" ht="114.75" x14ac:dyDescent="0.2">
      <c r="B31" s="18" t="s">
        <v>170</v>
      </c>
      <c r="C31" s="19" t="s">
        <v>9</v>
      </c>
      <c r="D31" s="20" t="s">
        <v>321</v>
      </c>
      <c r="E31" s="21">
        <v>40</v>
      </c>
      <c r="F31" s="107"/>
      <c r="G31" s="21" t="str">
        <f t="shared" si="6"/>
        <v/>
      </c>
      <c r="I31" s="85">
        <v>0</v>
      </c>
    </row>
    <row r="32" spans="2:9" ht="63.75" x14ac:dyDescent="0.2">
      <c r="B32" s="18" t="s">
        <v>171</v>
      </c>
      <c r="C32" s="19" t="s">
        <v>20</v>
      </c>
      <c r="D32" s="20" t="s">
        <v>323</v>
      </c>
      <c r="E32" s="21">
        <v>5</v>
      </c>
      <c r="F32" s="107"/>
      <c r="G32" s="21" t="str">
        <f t="shared" si="6"/>
        <v/>
      </c>
      <c r="I32" s="85">
        <v>0</v>
      </c>
    </row>
    <row r="33" spans="2:9" ht="12.75" customHeight="1" x14ac:dyDescent="0.2">
      <c r="E33" s="15" t="str">
        <f>IF(SUM(E36:E36)=0,0,"")</f>
        <v/>
      </c>
      <c r="F33" s="15"/>
      <c r="G33" s="15"/>
    </row>
    <row r="34" spans="2:9" ht="21.2" customHeight="1" x14ac:dyDescent="0.3">
      <c r="B34" s="144" t="s">
        <v>172</v>
      </c>
      <c r="C34" s="145"/>
      <c r="D34" s="145"/>
      <c r="E34" s="16" t="str">
        <f>IF(SUM(E36:E36)=0,0,"")</f>
        <v/>
      </c>
      <c r="F34" s="16"/>
      <c r="G34" s="17"/>
    </row>
    <row r="35" spans="2:9" ht="12.75" customHeight="1" x14ac:dyDescent="0.2">
      <c r="E35" s="15" t="str">
        <f>IF(SUM(E36:E36)=0,0,"")</f>
        <v/>
      </c>
      <c r="F35" s="15"/>
      <c r="G35" s="15"/>
    </row>
    <row r="36" spans="2:9" ht="25.5" x14ac:dyDescent="0.2">
      <c r="B36" s="18" t="s">
        <v>260</v>
      </c>
      <c r="C36" s="19" t="s">
        <v>4</v>
      </c>
      <c r="D36" s="20" t="s">
        <v>317</v>
      </c>
      <c r="E36" s="83">
        <v>11</v>
      </c>
      <c r="F36" s="107"/>
      <c r="G36" s="21" t="str">
        <f t="shared" ref="G36" si="7">IF(F36="","",E36*F36)</f>
        <v/>
      </c>
      <c r="I36" s="85">
        <v>0</v>
      </c>
    </row>
    <row r="37" spans="2:9" ht="12.75" customHeight="1" thickBot="1" x14ac:dyDescent="0.25">
      <c r="I37" s="28"/>
    </row>
    <row r="38" spans="2:9" ht="16.5" thickBot="1" x14ac:dyDescent="0.25">
      <c r="D38" s="26" t="s">
        <v>148</v>
      </c>
      <c r="E38" s="27"/>
      <c r="F38" s="141" t="str">
        <f>IF(SUM(G8:G36)=0,"",SUM(G8:G36))</f>
        <v/>
      </c>
      <c r="G38" s="142"/>
    </row>
  </sheetData>
  <sheetProtection algorithmName="SHA-512" hashValue="x7C0r73Xwky91S22ExR5FcD+1uOwr/Ayk5nVEjbEbIPClFNHXXaAOXGiziIFuZ3bly/KTbObmcMhn+/b8xJYTQ==" saltValue="tnpYWeC0jyssWUklB0F8NA==" spinCount="100000" sheet="1" objects="1" scenarios="1"/>
  <autoFilter ref="E1:G45">
    <filterColumn colId="0">
      <filters blank="1">
        <filter val="1,00"/>
        <filter val="10,00"/>
        <filter val="11,00"/>
        <filter val="150,00"/>
        <filter val="260,00"/>
        <filter val="3,00"/>
        <filter val="4,00"/>
        <filter val="40,00"/>
        <filter val="410,00"/>
        <filter val="44,00"/>
        <filter val="47,00"/>
        <filter val="5,00"/>
        <filter val="580,00"/>
        <filter val="6,00"/>
        <filter val="9,00"/>
        <filter val="količina"/>
      </filters>
    </filterColumn>
  </autoFilter>
  <dataConsolidate/>
  <mergeCells count="5">
    <mergeCell ref="F38:G38"/>
    <mergeCell ref="B4:G4"/>
    <mergeCell ref="B6:D6"/>
    <mergeCell ref="B18:D18"/>
    <mergeCell ref="B34:D3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12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28515625" style="2" customWidth="1"/>
    <col min="3" max="3" width="5.5703125" style="3" customWidth="1"/>
    <col min="4" max="4" width="43.85546875" style="4" customWidth="1"/>
    <col min="5" max="5" width="9.140625" style="5"/>
    <col min="6" max="6" width="10.28515625" style="5" customWidth="1"/>
    <col min="7" max="7" width="9.7109375" style="5" customWidth="1"/>
    <col min="8" max="8" width="4" style="6" customWidth="1"/>
    <col min="9" max="9" width="6" style="85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46</v>
      </c>
      <c r="C2" s="8" t="s">
        <v>51</v>
      </c>
      <c r="D2" s="8" t="s">
        <v>47</v>
      </c>
      <c r="E2" s="9" t="s">
        <v>48</v>
      </c>
      <c r="F2" s="9" t="s">
        <v>49</v>
      </c>
      <c r="G2" s="9" t="s">
        <v>50</v>
      </c>
      <c r="I2" s="86" t="s">
        <v>56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87"/>
    </row>
    <row r="4" spans="1:9" ht="15.75" x14ac:dyDescent="0.2">
      <c r="B4" s="143" t="s">
        <v>174</v>
      </c>
      <c r="C4" s="143"/>
      <c r="D4" s="143"/>
      <c r="E4" s="143"/>
      <c r="F4" s="143"/>
      <c r="G4" s="143"/>
    </row>
    <row r="5" spans="1:9" ht="12.75" customHeight="1" x14ac:dyDescent="0.2">
      <c r="E5" s="133" t="str">
        <f>IF(SUM(E8:E10)=0,0,"")</f>
        <v/>
      </c>
      <c r="F5" s="133"/>
      <c r="G5" s="133"/>
    </row>
    <row r="6" spans="1:9" ht="21.2" customHeight="1" x14ac:dyDescent="0.3">
      <c r="B6" s="144" t="s">
        <v>175</v>
      </c>
      <c r="C6" s="145"/>
      <c r="D6" s="145"/>
      <c r="E6" s="16" t="str">
        <f>IF(SUM(E8:E10)=0,0,"")</f>
        <v/>
      </c>
      <c r="F6" s="16"/>
      <c r="G6" s="17"/>
    </row>
    <row r="7" spans="1:9" ht="12.75" customHeight="1" x14ac:dyDescent="0.2">
      <c r="E7" s="133" t="str">
        <f>IF(SUM(E8:E10)=0,0,"")</f>
        <v/>
      </c>
      <c r="F7" s="133"/>
      <c r="G7" s="133"/>
    </row>
    <row r="8" spans="1:9" ht="25.5" x14ac:dyDescent="0.2">
      <c r="B8" s="18" t="s">
        <v>176</v>
      </c>
      <c r="C8" s="19" t="s">
        <v>177</v>
      </c>
      <c r="D8" s="20" t="s">
        <v>239</v>
      </c>
      <c r="E8" s="83">
        <v>40</v>
      </c>
      <c r="F8" s="107"/>
      <c r="G8" s="21" t="str">
        <f t="shared" ref="G8:G10" si="0">IF(F8="","",E8*F8)</f>
        <v/>
      </c>
      <c r="I8" s="85">
        <v>125</v>
      </c>
    </row>
    <row r="9" spans="1:9" ht="25.5" x14ac:dyDescent="0.2">
      <c r="B9" s="18" t="s">
        <v>178</v>
      </c>
      <c r="C9" s="19" t="s">
        <v>177</v>
      </c>
      <c r="D9" s="20" t="s">
        <v>240</v>
      </c>
      <c r="E9" s="83">
        <v>15</v>
      </c>
      <c r="F9" s="107"/>
      <c r="G9" s="21" t="str">
        <f t="shared" si="0"/>
        <v/>
      </c>
      <c r="I9" s="85">
        <v>125</v>
      </c>
    </row>
    <row r="10" spans="1:9" ht="51" x14ac:dyDescent="0.2">
      <c r="B10" s="18" t="s">
        <v>271</v>
      </c>
      <c r="C10" s="19" t="s">
        <v>4</v>
      </c>
      <c r="D10" s="20" t="s">
        <v>272</v>
      </c>
      <c r="E10" s="83">
        <v>1</v>
      </c>
      <c r="F10" s="107"/>
      <c r="G10" s="21" t="str">
        <f t="shared" si="0"/>
        <v/>
      </c>
      <c r="I10" s="85">
        <v>0</v>
      </c>
    </row>
    <row r="11" spans="1:9" ht="12.75" customHeight="1" thickBot="1" x14ac:dyDescent="0.25"/>
    <row r="12" spans="1:9" ht="16.5" thickBot="1" x14ac:dyDescent="0.25">
      <c r="D12" s="26" t="s">
        <v>173</v>
      </c>
      <c r="E12" s="27"/>
      <c r="F12" s="141" t="str">
        <f>IF(SUM(G5:G10)=0,"",SUM(G5:G10))</f>
        <v/>
      </c>
      <c r="G12" s="142"/>
    </row>
  </sheetData>
  <sheetProtection algorithmName="SHA-512" hashValue="y0JG/7eMfyhtHLBcQQuDagohRD/ph6VixnqyNFfX11iSaYrx+8gQpzmE0tZQRJYVfnj6hi5Qpoc77IliBmKIfw==" saltValue="5HyIKhQcBI6yL2HQFm0GQQ==" spinCount="100000" sheet="1" objects="1" scenarios="1"/>
  <autoFilter ref="E1:G12">
    <filterColumn colId="0">
      <filters blank="1">
        <filter val="1,00"/>
        <filter val="15,00"/>
        <filter val="40,00"/>
        <filter val="količina"/>
      </filters>
    </filterColumn>
  </autoFilter>
  <dataConsolidate/>
  <mergeCells count="3">
    <mergeCell ref="B6:D6"/>
    <mergeCell ref="F12:G12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45</vt:i4>
      </vt:variant>
    </vt:vector>
  </HeadingPairs>
  <TitlesOfParts>
    <vt:vector size="53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'6. OPREMA CEST'!_1_preddela_2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_2.6_Armiranje_zemljin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_4.2_Drenaže</vt:lpstr>
      <vt:lpstr>_4.3_Kanalizacija</vt:lpstr>
      <vt:lpstr>_4.4_Jaški</vt:lpstr>
      <vt:lpstr>_4.6_Izviri_ponikovalnice</vt:lpstr>
      <vt:lpstr>_5.1_Tesarska_dela</vt:lpstr>
      <vt:lpstr>_5.2_Dela_z_jeklom</vt:lpstr>
      <vt:lpstr>_5.3_Dela_z_cementnim_betonom</vt:lpstr>
      <vt:lpstr>_6.1_Pokončna_oprema_cest</vt:lpstr>
      <vt:lpstr>_6.2_Označbe_na_voziščihž</vt:lpstr>
      <vt:lpstr>_7.9_Preizkusi_nadzor_dokumentacija</vt:lpstr>
      <vt:lpstr>Čiščenje_terena_1.2</vt:lpstr>
      <vt:lpstr>Geodetska_dela_1.1</vt:lpstr>
      <vt:lpstr>iri_ponikovalnice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2024-12-02T08:29:58Z</cp:lastPrinted>
  <dcterms:created xsi:type="dcterms:W3CDTF">2010-07-30T11:24:43Z</dcterms:created>
  <dcterms:modified xsi:type="dcterms:W3CDTF">2025-02-24T15:32:26Z</dcterms:modified>
</cp:coreProperties>
</file>