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C:\Users\ekona\Desktop\"/>
    </mc:Choice>
  </mc:AlternateContent>
  <workbookProtection workbookPassword="E542" lockStructure="1"/>
  <bookViews>
    <workbookView xWindow="0" yWindow="0" windowWidth="38400" windowHeight="17970" tabRatio="989"/>
  </bookViews>
  <sheets>
    <sheet name="Popis del_fasada" sheetId="4" r:id="rId1"/>
    <sheet name="Izračuni_pred izmere" sheetId="5" state="hidden" r:id="rId2"/>
    <sheet name="Karakteristike objekta" sheetId="14" state="hidden" r:id="rId3"/>
  </sheets>
  <calcPr calcId="162913"/>
</workbook>
</file>

<file path=xl/calcChain.xml><?xml version="1.0" encoding="utf-8"?>
<calcChain xmlns="http://schemas.openxmlformats.org/spreadsheetml/2006/main">
  <c r="G17" i="4" l="1"/>
  <c r="G297" i="4"/>
  <c r="G215" i="4"/>
  <c r="G159" i="4"/>
  <c r="G153" i="4"/>
  <c r="G134" i="4"/>
  <c r="F295" i="4" l="1"/>
  <c r="F287" i="4"/>
  <c r="F266" i="4"/>
  <c r="B17" i="4"/>
  <c r="A17" i="4"/>
  <c r="F297" i="4" l="1"/>
  <c r="F17" i="4" s="1"/>
  <c r="H17" i="4" s="1"/>
  <c r="K125" i="5"/>
  <c r="K124" i="5"/>
  <c r="AE165" i="5" l="1"/>
  <c r="BK219" i="5"/>
  <c r="BJ219" i="5"/>
  <c r="BH219" i="5"/>
  <c r="BG219" i="5"/>
  <c r="BD2" i="5"/>
  <c r="AT2" i="5"/>
  <c r="AM2" i="5"/>
  <c r="AI2" i="5"/>
  <c r="AF215" i="5"/>
  <c r="AF216" i="5"/>
  <c r="AF214" i="5"/>
  <c r="AF211" i="5"/>
  <c r="AF212" i="5"/>
  <c r="AF213" i="5"/>
  <c r="AF210" i="5"/>
  <c r="AH219" i="5"/>
  <c r="AG219" i="5"/>
  <c r="AF1" i="5"/>
  <c r="W2" i="5"/>
  <c r="S2" i="5"/>
  <c r="H2" i="5"/>
  <c r="B208" i="5"/>
  <c r="A209" i="5"/>
  <c r="AF219" i="5" l="1"/>
  <c r="D115" i="4" s="1"/>
  <c r="F115" i="4" s="1"/>
  <c r="C203" i="5"/>
  <c r="BF203" i="5" s="1"/>
  <c r="BF219" i="5" s="1"/>
  <c r="D190" i="4" s="1"/>
  <c r="G190" i="4" s="1"/>
  <c r="BF1" i="5"/>
  <c r="A203" i="5"/>
  <c r="F186" i="4"/>
  <c r="C167" i="5"/>
  <c r="D167" i="5"/>
  <c r="Z1" i="5"/>
  <c r="A167" i="5"/>
  <c r="BE202" i="5"/>
  <c r="C201" i="5"/>
  <c r="BE201" i="5" s="1"/>
  <c r="BE1" i="5"/>
  <c r="A200" i="5"/>
  <c r="BC219" i="5"/>
  <c r="D199" i="5"/>
  <c r="C199" i="5"/>
  <c r="BD1" i="5"/>
  <c r="A199" i="5"/>
  <c r="B198" i="5"/>
  <c r="D113" i="4" l="1"/>
  <c r="F113" i="4" s="1"/>
  <c r="BE219" i="5"/>
  <c r="D188" i="4" s="1"/>
  <c r="G188" i="4" s="1"/>
  <c r="BD199" i="5"/>
  <c r="Z167" i="5"/>
  <c r="Z219" i="5" s="1"/>
  <c r="D94" i="4" s="1"/>
  <c r="G94" i="4" s="1"/>
  <c r="BB196" i="5"/>
  <c r="BB219" i="5" s="1"/>
  <c r="D173" i="4" s="1"/>
  <c r="G173" i="4" s="1"/>
  <c r="BB1" i="5"/>
  <c r="A196" i="5"/>
  <c r="BA1" i="5"/>
  <c r="C195" i="5"/>
  <c r="BA195" i="5" s="1"/>
  <c r="BA219" i="5" s="1"/>
  <c r="D171" i="4" s="1"/>
  <c r="G171" i="4" s="1"/>
  <c r="A195" i="5"/>
  <c r="G15" i="4"/>
  <c r="G12" i="4"/>
  <c r="G11" i="4"/>
  <c r="G10" i="4"/>
  <c r="B13" i="4"/>
  <c r="A13" i="4"/>
  <c r="AZ1" i="5"/>
  <c r="C194" i="5"/>
  <c r="AZ194" i="5" s="1"/>
  <c r="AZ219" i="5" s="1"/>
  <c r="D169" i="4" s="1"/>
  <c r="G169" i="4" s="1"/>
  <c r="A194" i="5"/>
  <c r="AY1" i="5"/>
  <c r="D193" i="5"/>
  <c r="C193" i="5"/>
  <c r="A193" i="5"/>
  <c r="AX1" i="5"/>
  <c r="C192" i="5"/>
  <c r="AX192" i="5" s="1"/>
  <c r="AX219" i="5" s="1"/>
  <c r="D165" i="4" s="1"/>
  <c r="G165" i="4" s="1"/>
  <c r="A192" i="5"/>
  <c r="AV219" i="5"/>
  <c r="AU219" i="5"/>
  <c r="AS219" i="5"/>
  <c r="AR219" i="5"/>
  <c r="AW1" i="5"/>
  <c r="AW2" i="5"/>
  <c r="C191" i="5"/>
  <c r="AW191" i="5" s="1"/>
  <c r="AW219" i="5" s="1"/>
  <c r="D163" i="4" s="1"/>
  <c r="A191" i="5"/>
  <c r="B190" i="5"/>
  <c r="C188" i="5"/>
  <c r="AQ188" i="5" s="1"/>
  <c r="D187" i="5"/>
  <c r="C187" i="5"/>
  <c r="C179" i="5"/>
  <c r="AP140" i="5"/>
  <c r="A188" i="5"/>
  <c r="A187" i="5"/>
  <c r="AO186" i="5"/>
  <c r="AO185" i="5"/>
  <c r="AO184" i="5"/>
  <c r="AO183" i="5"/>
  <c r="AO182" i="5"/>
  <c r="F186" i="5"/>
  <c r="AP186" i="5" s="1"/>
  <c r="F185" i="5"/>
  <c r="AP185" i="5" s="1"/>
  <c r="F184" i="5"/>
  <c r="AP184" i="5" s="1"/>
  <c r="F183" i="5"/>
  <c r="AP183" i="5" s="1"/>
  <c r="F182" i="5"/>
  <c r="AP182" i="5" s="1"/>
  <c r="A181" i="5"/>
  <c r="AN173" i="5"/>
  <c r="AN172" i="5"/>
  <c r="AN171" i="5"/>
  <c r="AN170" i="5"/>
  <c r="AN169" i="5"/>
  <c r="D180" i="5"/>
  <c r="C180" i="5"/>
  <c r="A180" i="5"/>
  <c r="D179" i="5"/>
  <c r="A179" i="5"/>
  <c r="B178" i="5"/>
  <c r="D176" i="5"/>
  <c r="C176" i="5"/>
  <c r="A176" i="5"/>
  <c r="B175" i="5"/>
  <c r="AM179" i="5" l="1"/>
  <c r="AY193" i="5"/>
  <c r="AY219" i="5" s="1"/>
  <c r="D167" i="4" s="1"/>
  <c r="G167" i="4" s="1"/>
  <c r="AN180" i="5"/>
  <c r="AO187" i="5"/>
  <c r="AI176" i="5"/>
  <c r="G163" i="4"/>
  <c r="AB173" i="5"/>
  <c r="AB172" i="5"/>
  <c r="AB171" i="5"/>
  <c r="AB170" i="5"/>
  <c r="AB169" i="5"/>
  <c r="A168" i="5"/>
  <c r="D166" i="5"/>
  <c r="X166" i="5" s="1"/>
  <c r="A166" i="5"/>
  <c r="AE164" i="5"/>
  <c r="AE1" i="5"/>
  <c r="A164" i="5"/>
  <c r="B163" i="5"/>
  <c r="K160" i="5"/>
  <c r="K159" i="5"/>
  <c r="K158" i="5"/>
  <c r="K157" i="5"/>
  <c r="K156" i="5"/>
  <c r="N157" i="5"/>
  <c r="N156" i="5"/>
  <c r="M157" i="5"/>
  <c r="D40" i="4"/>
  <c r="L158" i="5"/>
  <c r="L157" i="5"/>
  <c r="AB127" i="5"/>
  <c r="AB126" i="5"/>
  <c r="K127" i="5"/>
  <c r="K126" i="5"/>
  <c r="N160" i="5"/>
  <c r="J160" i="5"/>
  <c r="D64" i="4"/>
  <c r="G64" i="4" s="1"/>
  <c r="A155" i="5"/>
  <c r="B154" i="5"/>
  <c r="F111" i="4"/>
  <c r="F60" i="4"/>
  <c r="F210" i="4"/>
  <c r="F209" i="4"/>
  <c r="F203" i="4"/>
  <c r="F175" i="4" l="1"/>
  <c r="F13" i="4" s="1"/>
  <c r="G175" i="4"/>
  <c r="G13" i="4" s="1"/>
  <c r="F202" i="4"/>
  <c r="H13" i="4" l="1"/>
  <c r="D147" i="4"/>
  <c r="F147" i="4" s="1"/>
  <c r="F213" i="4"/>
  <c r="AQ1" i="5"/>
  <c r="C143" i="5"/>
  <c r="AQ143" i="5" s="1"/>
  <c r="A143" i="5"/>
  <c r="C116" i="5"/>
  <c r="S116" i="5" s="1"/>
  <c r="C115" i="5"/>
  <c r="U115" i="5" s="1"/>
  <c r="C114" i="5"/>
  <c r="S114" i="5" s="1"/>
  <c r="A115" i="5"/>
  <c r="A114" i="5"/>
  <c r="B113" i="5"/>
  <c r="C122" i="5"/>
  <c r="Y122" i="5" s="1"/>
  <c r="A122" i="5"/>
  <c r="X121" i="5"/>
  <c r="X120" i="5"/>
  <c r="A120" i="5"/>
  <c r="D119" i="5"/>
  <c r="D142" i="5"/>
  <c r="AP142" i="5" s="1"/>
  <c r="D141" i="5"/>
  <c r="D135" i="5"/>
  <c r="C119" i="5"/>
  <c r="W119" i="5" s="1"/>
  <c r="A119" i="5"/>
  <c r="C141" i="5"/>
  <c r="A141" i="5"/>
  <c r="C94" i="5"/>
  <c r="AO140" i="5"/>
  <c r="AO139" i="5"/>
  <c r="AO92" i="5"/>
  <c r="AO91" i="5"/>
  <c r="F139" i="5"/>
  <c r="AP139" i="5" s="1"/>
  <c r="A138" i="5"/>
  <c r="A136" i="5"/>
  <c r="AN137" i="5"/>
  <c r="C135" i="5"/>
  <c r="C136" i="5"/>
  <c r="AN136" i="5" s="1"/>
  <c r="A135" i="5"/>
  <c r="D132" i="5"/>
  <c r="C132" i="5"/>
  <c r="C81" i="5"/>
  <c r="C80" i="5"/>
  <c r="A132" i="5"/>
  <c r="B131" i="5"/>
  <c r="B134" i="5"/>
  <c r="K109" i="5"/>
  <c r="K108" i="5"/>
  <c r="AB125" i="5"/>
  <c r="AB124" i="5"/>
  <c r="A123" i="5"/>
  <c r="AB76" i="5"/>
  <c r="A75" i="5"/>
  <c r="AB29" i="5"/>
  <c r="F208" i="4"/>
  <c r="F207" i="4"/>
  <c r="F201" i="4"/>
  <c r="F200" i="4"/>
  <c r="M109" i="5"/>
  <c r="M108" i="5"/>
  <c r="L109" i="5"/>
  <c r="F40" i="4"/>
  <c r="AP92" i="5"/>
  <c r="F91" i="5"/>
  <c r="AP91" i="5" s="1"/>
  <c r="F47" i="5"/>
  <c r="AP47" i="5" s="1"/>
  <c r="H108" i="5"/>
  <c r="A107" i="5"/>
  <c r="C146" i="5"/>
  <c r="AT146" i="5" s="1"/>
  <c r="A146" i="5"/>
  <c r="B145" i="5"/>
  <c r="AD1" i="5"/>
  <c r="C130" i="5"/>
  <c r="AD130" i="5" s="1"/>
  <c r="C129" i="5"/>
  <c r="AD129" i="5" s="1"/>
  <c r="A129" i="5"/>
  <c r="B118" i="5"/>
  <c r="C112" i="5"/>
  <c r="P112" i="5" s="1"/>
  <c r="U116" i="5" l="1"/>
  <c r="AI132" i="5"/>
  <c r="AP141" i="5"/>
  <c r="AD219" i="5"/>
  <c r="D109" i="4" s="1"/>
  <c r="F109" i="4" s="1"/>
  <c r="AM135" i="5"/>
  <c r="Q219" i="5" l="1"/>
  <c r="P1" i="5"/>
  <c r="C111" i="5"/>
  <c r="P111" i="5" s="1"/>
  <c r="P219" i="5" s="1"/>
  <c r="D62" i="4" s="1"/>
  <c r="F62" i="4" s="1"/>
  <c r="A111" i="5"/>
  <c r="C110" i="5"/>
  <c r="O110" i="5" s="1"/>
  <c r="A110" i="5"/>
  <c r="B105" i="5"/>
  <c r="G241" i="4"/>
  <c r="F239" i="4"/>
  <c r="F58" i="4"/>
  <c r="BI149" i="5"/>
  <c r="A149" i="5"/>
  <c r="B148" i="5"/>
  <c r="AC77" i="5" l="1"/>
  <c r="AC1" i="5"/>
  <c r="A77" i="5"/>
  <c r="U1" i="5"/>
  <c r="C67" i="5"/>
  <c r="U67" i="5" s="1"/>
  <c r="A67" i="5"/>
  <c r="C66" i="5"/>
  <c r="S66" i="5" s="1"/>
  <c r="A66" i="5"/>
  <c r="B65" i="5"/>
  <c r="Y74" i="5"/>
  <c r="A74" i="5"/>
  <c r="AP95" i="5"/>
  <c r="D94" i="5"/>
  <c r="AP94" i="5" s="1"/>
  <c r="A93" i="5"/>
  <c r="AN92" i="5"/>
  <c r="AN91" i="5"/>
  <c r="K58" i="5"/>
  <c r="A90" i="5"/>
  <c r="AN47" i="5"/>
  <c r="AN89" i="5"/>
  <c r="AN88" i="5"/>
  <c r="A87" i="5"/>
  <c r="D86" i="5"/>
  <c r="AM86" i="5" s="1"/>
  <c r="AM1" i="5"/>
  <c r="A86" i="5"/>
  <c r="B84" i="5"/>
  <c r="AI81" i="5"/>
  <c r="D80" i="5"/>
  <c r="AI80" i="5" s="1"/>
  <c r="A80" i="5"/>
  <c r="B79" i="5"/>
  <c r="X73" i="5"/>
  <c r="X72" i="5"/>
  <c r="A71" i="5"/>
  <c r="D70" i="5"/>
  <c r="W70" i="5" s="1"/>
  <c r="A70" i="5"/>
  <c r="B69" i="5"/>
  <c r="AO47" i="5"/>
  <c r="K57" i="5"/>
  <c r="K1" i="5"/>
  <c r="A56" i="5"/>
  <c r="F206" i="4"/>
  <c r="D199" i="4" l="1"/>
  <c r="D184" i="4" l="1"/>
  <c r="F184" i="4" s="1"/>
  <c r="D103" i="4"/>
  <c r="F103" i="4" s="1"/>
  <c r="F100" i="4"/>
  <c r="F56" i="4"/>
  <c r="AT1" i="5" l="1"/>
  <c r="C98" i="5"/>
  <c r="AT98" i="5" s="1"/>
  <c r="AT219" i="5" s="1"/>
  <c r="A98" i="5"/>
  <c r="B97" i="5"/>
  <c r="D157" i="4" l="1"/>
  <c r="O1" i="5"/>
  <c r="C63" i="5"/>
  <c r="O63" i="5" s="1"/>
  <c r="O219" i="5" s="1"/>
  <c r="D54" i="4" s="1"/>
  <c r="F54" i="4" s="1"/>
  <c r="A63" i="5"/>
  <c r="BI1" i="5" l="1"/>
  <c r="E101" i="5"/>
  <c r="BI101" i="5" s="1"/>
  <c r="BI219" i="5" s="1"/>
  <c r="A101" i="5"/>
  <c r="B100" i="5"/>
  <c r="F235" i="4"/>
  <c r="G233" i="4"/>
  <c r="F52" i="4"/>
  <c r="F98" i="4"/>
  <c r="D231" i="4"/>
  <c r="F229" i="4"/>
  <c r="F50" i="4"/>
  <c r="M62" i="5"/>
  <c r="M219" i="5" s="1"/>
  <c r="D44" i="4" s="1"/>
  <c r="M1" i="5"/>
  <c r="A61" i="5"/>
  <c r="L60" i="5"/>
  <c r="L219" i="5" s="1"/>
  <c r="D39" i="4" s="1"/>
  <c r="F39" i="4" s="1"/>
  <c r="L1" i="5"/>
  <c r="A59" i="5"/>
  <c r="B54" i="5"/>
  <c r="AB1" i="5"/>
  <c r="A28" i="5"/>
  <c r="E6" i="5"/>
  <c r="F231" i="4" l="1"/>
  <c r="D48" i="5"/>
  <c r="C48" i="5"/>
  <c r="F44" i="4"/>
  <c r="Y27" i="5"/>
  <c r="Y1" i="5"/>
  <c r="A27" i="5"/>
  <c r="A24" i="5"/>
  <c r="C82" i="5"/>
  <c r="AJ82" i="5" s="1"/>
  <c r="AJ1" i="5"/>
  <c r="A82" i="5"/>
  <c r="D35" i="5"/>
  <c r="C35" i="5"/>
  <c r="A35" i="5"/>
  <c r="B34" i="5"/>
  <c r="AA1" i="5"/>
  <c r="C32" i="5"/>
  <c r="AA32" i="5" s="1"/>
  <c r="A32" i="5"/>
  <c r="T1" i="5"/>
  <c r="C19" i="5"/>
  <c r="T19" i="5" s="1"/>
  <c r="C18" i="5"/>
  <c r="S18" i="5" s="1"/>
  <c r="A18" i="5"/>
  <c r="B17" i="5"/>
  <c r="B11" i="5"/>
  <c r="A48" i="5"/>
  <c r="I55" i="5"/>
  <c r="I219" i="5" s="1"/>
  <c r="D74" i="4" s="1"/>
  <c r="F74" i="4" s="1"/>
  <c r="I1" i="5"/>
  <c r="A55" i="5"/>
  <c r="H12" i="5"/>
  <c r="H219" i="5" s="1"/>
  <c r="D72" i="4" s="1"/>
  <c r="G72" i="4" s="1"/>
  <c r="H1" i="5"/>
  <c r="A14" i="5"/>
  <c r="AP48" i="5" l="1"/>
  <c r="AI35" i="5"/>
  <c r="AO1" i="5"/>
  <c r="A46" i="5"/>
  <c r="AN44" i="5"/>
  <c r="AN43" i="5"/>
  <c r="AN1" i="5"/>
  <c r="A42" i="5"/>
  <c r="D40" i="5" l="1"/>
  <c r="AM40" i="5" s="1"/>
  <c r="AM219" i="5" s="1"/>
  <c r="D141" i="4" s="1"/>
  <c r="A40" i="5"/>
  <c r="B38" i="5"/>
  <c r="AQ219" i="5"/>
  <c r="D151" i="4" s="1"/>
  <c r="F151" i="4" s="1"/>
  <c r="AP219" i="5"/>
  <c r="D149" i="4" s="1"/>
  <c r="AO219" i="5"/>
  <c r="D145" i="4" s="1"/>
  <c r="F145" i="4" s="1"/>
  <c r="AN219" i="5"/>
  <c r="D143" i="4" s="1"/>
  <c r="D23" i="5"/>
  <c r="W23" i="5" s="1"/>
  <c r="W219" i="5" s="1"/>
  <c r="D86" i="4" s="1"/>
  <c r="W1" i="5"/>
  <c r="A23" i="5"/>
  <c r="B22" i="5"/>
  <c r="D227" i="4"/>
  <c r="G227" i="4" s="1"/>
  <c r="AC219" i="5"/>
  <c r="D105" i="4" s="1"/>
  <c r="AB219" i="5"/>
  <c r="D96" i="4" s="1"/>
  <c r="Y219" i="5"/>
  <c r="D92" i="4" s="1"/>
  <c r="AK219" i="5"/>
  <c r="AJ219" i="5"/>
  <c r="U219" i="5"/>
  <c r="D80" i="4" s="1"/>
  <c r="G80" i="4" s="1"/>
  <c r="G82" i="4" s="1"/>
  <c r="G8" i="4" s="1"/>
  <c r="T219" i="5"/>
  <c r="D78" i="4" s="1"/>
  <c r="D46" i="4"/>
  <c r="G223" i="4"/>
  <c r="F86" i="4" l="1"/>
  <c r="X26" i="5"/>
  <c r="X25" i="5"/>
  <c r="G46" i="4"/>
  <c r="G68" i="4" s="1"/>
  <c r="G7" i="4" s="1"/>
  <c r="N15" i="5"/>
  <c r="N219" i="5" s="1"/>
  <c r="K15" i="5"/>
  <c r="K219" i="5" s="1"/>
  <c r="X219" i="5" l="1"/>
  <c r="D90" i="4" s="1"/>
  <c r="J15" i="5"/>
  <c r="J219" i="5" s="1"/>
  <c r="D32" i="4" s="1"/>
  <c r="J1" i="5"/>
  <c r="F34" i="4" l="1"/>
  <c r="E65" i="14" l="1"/>
  <c r="E64" i="14"/>
  <c r="E66" i="14" s="1"/>
  <c r="C62" i="14"/>
  <c r="C12" i="14" l="1"/>
  <c r="C11" i="14"/>
  <c r="E48" i="14"/>
  <c r="E43" i="14"/>
  <c r="C44" i="14"/>
  <c r="E44" i="14" s="1"/>
  <c r="D10" i="14"/>
  <c r="D33" i="14" s="1"/>
  <c r="C31" i="14"/>
  <c r="C30" i="14" s="1"/>
  <c r="E30" i="14"/>
  <c r="C28" i="14"/>
  <c r="C27" i="14" s="1"/>
  <c r="C8" i="14"/>
  <c r="C6" i="14"/>
  <c r="C7" i="14"/>
  <c r="E46" i="14" l="1"/>
  <c r="E51" i="14" s="1"/>
  <c r="C10" i="14"/>
  <c r="C33" i="14" s="1"/>
  <c r="E33" i="14" s="1"/>
  <c r="C5" i="14"/>
  <c r="E5" i="14" s="1"/>
  <c r="K57" i="14"/>
  <c r="K53" i="14" l="1"/>
  <c r="F199" i="4" l="1"/>
  <c r="D237" i="4" l="1"/>
  <c r="F237" i="4" s="1"/>
  <c r="B16" i="4" l="1"/>
  <c r="A16" i="4"/>
  <c r="F225" i="4" l="1"/>
  <c r="F66" i="4"/>
  <c r="F157" i="4" l="1"/>
  <c r="BD99" i="5"/>
  <c r="BD98" i="5"/>
  <c r="BD96" i="5"/>
  <c r="BD97" i="5"/>
  <c r="AE219" i="5"/>
  <c r="D88" i="4" s="1"/>
  <c r="B14" i="4"/>
  <c r="A14" i="4"/>
  <c r="B12" i="4"/>
  <c r="BD219" i="5" l="1"/>
  <c r="D182" i="4" s="1"/>
  <c r="F143" i="4"/>
  <c r="AL219" i="5"/>
  <c r="F92" i="4"/>
  <c r="V219" i="5"/>
  <c r="R219" i="5"/>
  <c r="F48" i="4"/>
  <c r="B8" i="4"/>
  <c r="A8" i="4"/>
  <c r="G182" i="4" l="1"/>
  <c r="F192" i="4" l="1"/>
  <c r="F14" i="4" s="1"/>
  <c r="G192" i="4"/>
  <c r="G14" i="4" s="1"/>
  <c r="S219" i="5"/>
  <c r="F78" i="4" s="1"/>
  <c r="H14" i="4" l="1"/>
  <c r="D76" i="4"/>
  <c r="F76" i="4" s="1"/>
  <c r="F82" i="4" s="1"/>
  <c r="F8" i="4" s="1"/>
  <c r="H8" i="4" s="1"/>
  <c r="AA219" i="5" l="1"/>
  <c r="D107" i="4" s="1"/>
  <c r="G107" i="4" s="1"/>
  <c r="G121" i="4" s="1"/>
  <c r="G9" i="4" s="1"/>
  <c r="G77" i="14" l="1"/>
  <c r="F73" i="14"/>
  <c r="F75" i="14"/>
  <c r="E76" i="14"/>
  <c r="C76" i="14"/>
  <c r="F76" i="14"/>
  <c r="E75" i="14"/>
  <c r="C75" i="14"/>
  <c r="E74" i="14"/>
  <c r="C74" i="14"/>
  <c r="E73" i="14"/>
  <c r="C73" i="14"/>
  <c r="F96" i="4"/>
  <c r="AI219" i="5" l="1"/>
  <c r="G73" i="14"/>
  <c r="G75" i="14"/>
  <c r="G74" i="14"/>
  <c r="G76" i="14"/>
  <c r="G79" i="14" l="1"/>
  <c r="G68" i="14"/>
  <c r="F88" i="4"/>
  <c r="G80" i="14" l="1"/>
  <c r="C58" i="14"/>
  <c r="B58" i="14"/>
  <c r="E58" i="14" l="1"/>
  <c r="E10" i="14"/>
  <c r="E27" i="14" l="1"/>
  <c r="F105" i="4" l="1"/>
  <c r="F214" i="4"/>
  <c r="F215" i="4" s="1"/>
  <c r="F119" i="4" l="1"/>
  <c r="F118" i="4"/>
  <c r="F117" i="4"/>
  <c r="D132" i="4" l="1"/>
  <c r="D42" i="4" l="1"/>
  <c r="F32" i="4"/>
  <c r="D36" i="4" l="1"/>
  <c r="F36" i="4" s="1"/>
  <c r="A1" i="5" l="1"/>
  <c r="F221" i="4" l="1"/>
  <c r="F15" i="4"/>
  <c r="H15" i="4" s="1"/>
  <c r="G219" i="4"/>
  <c r="G243" i="4" s="1"/>
  <c r="G16" i="4" s="1"/>
  <c r="G19" i="4" s="1"/>
  <c r="D130" i="4"/>
  <c r="F130" i="4" s="1"/>
  <c r="B15" i="4"/>
  <c r="A15" i="4"/>
  <c r="F159" i="4"/>
  <c r="A12" i="4"/>
  <c r="B11" i="4"/>
  <c r="A11" i="4"/>
  <c r="B10" i="4"/>
  <c r="A10" i="4"/>
  <c r="B9" i="4"/>
  <c r="A9" i="4"/>
  <c r="B7" i="4"/>
  <c r="A7" i="4"/>
  <c r="G20" i="4" l="1"/>
  <c r="G22" i="4" s="1"/>
  <c r="F243" i="4"/>
  <c r="F16" i="4" s="1"/>
  <c r="H16" i="4" s="1"/>
  <c r="F132" i="4"/>
  <c r="F134" i="4" s="1"/>
  <c r="F42" i="4"/>
  <c r="F68" i="4" s="1"/>
  <c r="F90" i="4"/>
  <c r="F121" i="4" s="1"/>
  <c r="F149" i="4"/>
  <c r="F7" i="4" l="1"/>
  <c r="H7" i="4" s="1"/>
  <c r="F10" i="4"/>
  <c r="H10" i="4" s="1"/>
  <c r="F141" i="4"/>
  <c r="F153" i="4" s="1"/>
  <c r="F9" i="4"/>
  <c r="H9" i="4" s="1"/>
  <c r="F12" i="4"/>
  <c r="H12" i="4" s="1"/>
  <c r="F11" i="4" l="1"/>
  <c r="H11" i="4" s="1"/>
  <c r="H19" i="4" s="1"/>
  <c r="H20" i="4" l="1"/>
  <c r="H22" i="4" s="1"/>
  <c r="F19" i="4"/>
  <c r="F20" i="4" l="1"/>
  <c r="F22" i="4" s="1"/>
</calcChain>
</file>

<file path=xl/sharedStrings.xml><?xml version="1.0" encoding="utf-8"?>
<sst xmlns="http://schemas.openxmlformats.org/spreadsheetml/2006/main" count="483" uniqueCount="295">
  <si>
    <t>I.</t>
  </si>
  <si>
    <t>POPIS DEL S PREDIZMERAMI</t>
  </si>
  <si>
    <t>Skupaj:</t>
  </si>
  <si>
    <t>SPLOŠNO</t>
  </si>
  <si>
    <t>1</t>
  </si>
  <si>
    <t>II.</t>
  </si>
  <si>
    <t>III.</t>
  </si>
  <si>
    <t>ZIDARSKA DELA</t>
  </si>
  <si>
    <t>kos</t>
  </si>
  <si>
    <t>~KV delavec</t>
  </si>
  <si>
    <t>ur</t>
  </si>
  <si>
    <t>~PK delavec</t>
  </si>
  <si>
    <t>S K U P A J   ZIDARSKA DELA</t>
  </si>
  <si>
    <t>IV.</t>
  </si>
  <si>
    <t>TESARSKA DELA</t>
  </si>
  <si>
    <t>S K U P A J   TESARSKA DELA</t>
  </si>
  <si>
    <t>V.</t>
  </si>
  <si>
    <t>FASADERSKA DELA</t>
  </si>
  <si>
    <t>S K U P A J  FASADERSKA DELA</t>
  </si>
  <si>
    <t>VI.</t>
  </si>
  <si>
    <t>VII.</t>
  </si>
  <si>
    <t>Fasadni oder</t>
  </si>
  <si>
    <t>KLEPARSKA DELA</t>
  </si>
  <si>
    <t>S K U P A J   KLEPARSKA DELA</t>
  </si>
  <si>
    <t>Število</t>
  </si>
  <si>
    <t>RAZNA DELA</t>
  </si>
  <si>
    <t>S K U P A J   RAZNA DELA</t>
  </si>
  <si>
    <t>A</t>
  </si>
  <si>
    <t xml:space="preserve">      </t>
  </si>
  <si>
    <t>RUŠITVENA IN ODSTRANITVENA DELA</t>
  </si>
  <si>
    <t>S K U P A J   RUŠITVENA IN ODSTRANITVENA DELA</t>
  </si>
  <si>
    <t>2</t>
  </si>
  <si>
    <t>Odbijanje špalet</t>
  </si>
  <si>
    <t>3</t>
  </si>
  <si>
    <t>SEVERNA FASADA</t>
  </si>
  <si>
    <t>Demontaža kovinskih polic</t>
  </si>
  <si>
    <t>Lovilni oder</t>
  </si>
  <si>
    <t>STAVBNO POHIŠTVO</t>
  </si>
  <si>
    <t>S K U P A J   STAVBNO POHIŠTVO</t>
  </si>
  <si>
    <t xml:space="preserve">Ponudbena cena vsebuje vse stroške za: pripravljalna in zaključna dela, stroške porabe elektrike in vode; vsa pomožna dela za izvršitev pogodbenih del; delo preko delovnega časa in dela ob dela prostih dnevih; vse stroške tekočega in končnega čiščenja, morebitno čiščenje javnih površin; orodja, delovno opremo, mehanizacijo, dvigala in potrebne delovne odre; vse manipulativne stroške, transport, prenose, dvige; takse najema zemljišča za potrebe gradbišča – deponij (če je to potrebno), vključno s stroški pridobitve dovoljenja za zaporo in označitev); za preiskave, preizkuse, ateste in certifikate za vgrajene materiale in opremo; potrebnih zahtevanih meritev; stroške za varnost pri delu in protipožarno varnost na delovišču; stroške zavarovanja del; zavarovanje objekta; zavarovanje izdelkov pred poškodbami do predaje naročniku; stroške načrta organizacije gradbišča; stroške koordinacije  podizvajalcev   na gradbišču; stroške zavarovanja dokazov stanja sosednjih objektov in premoženja (video in foto posnetki, cenilna poročila); odprave možnih poškodb na drugih objektih ali na obstoječi infrastrukturi; zaščito vseh površin stavbnega pohištva s PVC folijo. Izvajalec mora vse mere preveriti na mestu samem in eventualna odstopanja upoštevati v enotnih cenah. </t>
  </si>
  <si>
    <t xml:space="preserve">Odstranitev ometa na špaletah oken, fasadnih zasteklitev, balkonskih vrat. V ceni je potrebno upoštevati odstranitev ometa, oziroma dela zidu v globini do 3,0 cm, kot priprava za oblogo s toplotno izolacijo v debelini 2,0 cm vključno s pripravo površine za lepljenje obloge iz toplotne izolacije.  </t>
  </si>
  <si>
    <t>VIII.</t>
  </si>
  <si>
    <t>IX.</t>
  </si>
  <si>
    <t>Višina</t>
  </si>
  <si>
    <t>Dolžina</t>
  </si>
  <si>
    <t>Splošno:</t>
  </si>
  <si>
    <t xml:space="preserve">Pritličje </t>
  </si>
  <si>
    <t>Bruto prostornina</t>
  </si>
  <si>
    <t>Neto prostornina</t>
  </si>
  <si>
    <t>I. nadstropje</t>
  </si>
  <si>
    <t>Skupaj</t>
  </si>
  <si>
    <t>Odstotek:</t>
  </si>
  <si>
    <t>Površina zunanjih sten</t>
  </si>
  <si>
    <t>II</t>
  </si>
  <si>
    <t>Debelina toplotne izolacije</t>
  </si>
  <si>
    <t>Vzhodna stena</t>
  </si>
  <si>
    <t>Severna stena</t>
  </si>
  <si>
    <t>Celotna obstoječa fasadna površina</t>
  </si>
  <si>
    <t>Višina podzidka</t>
  </si>
  <si>
    <r>
      <t>~ O</t>
    </r>
    <r>
      <rPr>
        <vertAlign val="subscript"/>
        <sz val="11"/>
        <rFont val="Calibri"/>
        <family val="2"/>
        <charset val="238"/>
      </rPr>
      <t xml:space="preserve">1 </t>
    </r>
  </si>
  <si>
    <t>Dolžina_širina</t>
  </si>
  <si>
    <r>
      <t>~ O</t>
    </r>
    <r>
      <rPr>
        <vertAlign val="subscript"/>
        <sz val="11"/>
        <rFont val="Calibri"/>
        <family val="2"/>
        <charset val="238"/>
      </rPr>
      <t xml:space="preserve">2 </t>
    </r>
  </si>
  <si>
    <r>
      <t>~ O</t>
    </r>
    <r>
      <rPr>
        <vertAlign val="subscript"/>
        <sz val="11"/>
        <rFont val="Calibri"/>
        <family val="2"/>
        <charset val="238"/>
      </rPr>
      <t xml:space="preserve">3 </t>
    </r>
  </si>
  <si>
    <t>III</t>
  </si>
  <si>
    <t>Površina oken in balkonskih vrat</t>
  </si>
  <si>
    <t>Delež zasteklitve</t>
  </si>
  <si>
    <t>Širina okenskih špalet</t>
  </si>
  <si>
    <r>
      <t>~ O</t>
    </r>
    <r>
      <rPr>
        <vertAlign val="subscript"/>
        <sz val="11"/>
        <rFont val="Calibri"/>
        <family val="2"/>
        <charset val="238"/>
      </rPr>
      <t xml:space="preserve">7 </t>
    </r>
  </si>
  <si>
    <r>
      <t>~ S</t>
    </r>
    <r>
      <rPr>
        <vertAlign val="subscript"/>
        <sz val="11"/>
        <rFont val="Calibri"/>
        <family val="2"/>
        <charset val="238"/>
      </rPr>
      <t xml:space="preserve">2 </t>
    </r>
  </si>
  <si>
    <t>Zahodna stena</t>
  </si>
  <si>
    <t>ZAHODNA  FASADA</t>
  </si>
  <si>
    <t>4</t>
  </si>
  <si>
    <t>JUŽNA  FASADA</t>
  </si>
  <si>
    <t>ZEMELJSKA DELA</t>
  </si>
  <si>
    <t>S K U P A J   ZEMELJSKA DELA</t>
  </si>
  <si>
    <t>5</t>
  </si>
  <si>
    <t>Izkop ob fasadi</t>
  </si>
  <si>
    <t>Zahodna fasada</t>
  </si>
  <si>
    <t>SLIKOPLESKARSKA DELA</t>
  </si>
  <si>
    <t>S K U P A J   SLIKOPLESKARSKA DELA</t>
  </si>
  <si>
    <t xml:space="preserve">V fazi izvedbe je potrebno zagotoviti zaščito fasade pred vremenskimi vplivi, kot sta dež ali neposredno sončno sevanje, in sicer z zaščitnimi mrežami ali zavesami. To velja za celotno trajanje del, vključno z dokončanjem fasade z vsemi priključki (montažo okenskih polic ali drugih elementov v okenski odprtini). Reprodukcijski materiali morajo biti v skladu z zahtevani standarda SIST EN 13162, SIST EN 13164. Fasadni sistem mora izpolnjevati pogoje evropskega tehničnega soglasja na podlagi smernice ETAG 004 ter znak CE in Izjava o lastnostih v skladu z Uredbo o gradbenih proizvodih 305/2011. Pri izvedbi je potrebno upoštevati TS PFSTI 01, fasada je srednje razčlenjena.  </t>
  </si>
  <si>
    <t>kpl</t>
  </si>
  <si>
    <t>Razna dela</t>
  </si>
  <si>
    <t>6</t>
  </si>
  <si>
    <r>
      <rPr>
        <b/>
        <sz val="11"/>
        <rFont val="Arial"/>
        <family val="2"/>
        <charset val="238"/>
      </rPr>
      <t>λ</t>
    </r>
    <r>
      <rPr>
        <b/>
        <sz val="11"/>
        <rFont val="Calibri"/>
        <family val="2"/>
        <charset val="238"/>
        <scheme val="minor"/>
      </rPr>
      <t xml:space="preserve"> /d   0,25
W/m2K</t>
    </r>
  </si>
  <si>
    <t xml:space="preserve">OBJEKT: VEČ STANOVANJSKA STAVBA, CESTA DOLOMITSKEGA ODREDA 17, LJUBLJANA </t>
  </si>
  <si>
    <t>Rušenja, izsekavanja in dolbenja morajo biti izvršena strokovno, na način, ki je predpisan v posamezni postavki del. V ceni je potrebno upoštevati vse gradbiščne transporte, nakladanje na transportno sredstvo, prevoz na komunalno deponijo in plačilo vseh pristojbin komunalnega odlagališča, vključno z izdelavo poročila o ravnanju z gradbenimi odpadki.</t>
  </si>
  <si>
    <t>Klet</t>
  </si>
  <si>
    <t>Mansarda</t>
  </si>
  <si>
    <t>Neto uporabna površina</t>
  </si>
  <si>
    <t>Površina</t>
  </si>
  <si>
    <t>Južna stena</t>
  </si>
  <si>
    <t>Vzhhodna fasada</t>
  </si>
  <si>
    <t>Ug</t>
  </si>
  <si>
    <t>Uw</t>
  </si>
  <si>
    <t>~ senčilo za okna širine do 250 cm</t>
  </si>
  <si>
    <t>Demontaža tablice s hišno številko.</t>
  </si>
  <si>
    <t xml:space="preserve">Priprava fasadnih površin pred izvedbo obloge s toplotno izolacijo. V ceni je potrebno upoštevati, mehansko čiščenje z ročnim ščetkanjem, površinskim, visoko tlačnim  izpiranjem,  premaz z algicidom na mestih pojava mahu in lišajev ter eventualno sanacijo manjših, površin odpadlega, fasadnega ometa. V ceni je potrebno upoštevati evidentiranje poškodovanega fasadnega ometa, izdelava katastra poškodb, odstranitev poškodovanega ometa, vključno s pripravo površine za sanacijo, ter odbijanje poškodovanih delov grobega in žlahtnega ometa do zdrave podlage, mehansko čiščenje površine in izpiranje z vodnim curkom in izvedba sanacije fasadnega ometa s podaljšano cementno malto 1:3:9 na predhodno izveden cementni obrizg 1:3; frakcija malte do 0-8 mm_frakcija ustrezna globini poškodbe. </t>
  </si>
  <si>
    <t>Demontaža senčil_250 cm</t>
  </si>
  <si>
    <t>~mansarda</t>
  </si>
  <si>
    <t>Priprava površin</t>
  </si>
  <si>
    <t xml:space="preserve">Dobava in montaža tablice s hišno številko. V ceni je potrebno upoštevati občinski predpis glede barve, oblike in velikosti. </t>
  </si>
  <si>
    <t xml:space="preserve">Demontaža tipal temperature in hranjenje do ponovne montaže po zaključku izvedbe fasade. </t>
  </si>
  <si>
    <t xml:space="preserve">Ponovna montaža tipal temperature, vključno z vsem pritrdilnim in tesnilnim materialom in eventualnim podaljšanjem vodnikov. </t>
  </si>
  <si>
    <t xml:space="preserve">Demontaža kovinske ograje višine 40 cm, montirane na fasadno stran pri okenskih parapetih višine 70 cm. Ograja je izdelana iz štirih, horizontalnih, pohištvenih profilov 30/30 mm. </t>
  </si>
  <si>
    <t>Dodatek</t>
  </si>
  <si>
    <t xml:space="preserve">Dobava in montaža varovalne ograje višine 400 mm iz nerjavnih, brezšivnih cevi premera 20 mm, debelina stene 2,0 mm, kvaliteta AISI 304. V ceni je potrebno upoštevati tudi distančnike za pritrjevanje v nosilno steno vključno z vsem pritrdilnim materialom.     </t>
  </si>
  <si>
    <t>Demontaža okenskih polic iz Alu pločevine, širine do 20 cm. V ceni je potrebno upoštevati pazljivo demontažo in pripravo površine za kasnejšo montažo polic.</t>
  </si>
  <si>
    <t xml:space="preserve">Izvedba izravnave območja kamnitega podzidka objekta s cementno malto 1:3 z izvedbo predhodnega obrizga. V ceni je potrebno upoštevati, da se del kamnitih blokov na mestih največjih odstopanj od fasadne ravnine v globini do 4,0 cm izravna z odbijanjem, depresije v globini cca 4,0 cm se polni s cementno malto.  </t>
  </si>
  <si>
    <t>Izravnava cokla</t>
  </si>
  <si>
    <t>EPS_cokel</t>
  </si>
  <si>
    <t>EPS_grafit</t>
  </si>
  <si>
    <t>EPS_špalete</t>
  </si>
  <si>
    <t>Čiščenje terena in odstranitev izvedenih zasaditev. V ceni je potrebno upoštevati odstranitev manjših grmovnic in cvetic do višine 50 cm.</t>
  </si>
  <si>
    <t>Čiščenje terena</t>
  </si>
  <si>
    <t xml:space="preserve">Pazljiva demontaža betonskih tlakovcev, debeline do 6,0 cm. V ceni je potrebno upoštevati čiščenje in deponiranje do ponovne uporabe. </t>
  </si>
  <si>
    <t>Demontaža tlakovci</t>
  </si>
  <si>
    <t>VZHODNA  FASADA</t>
  </si>
  <si>
    <t>7</t>
  </si>
  <si>
    <t xml:space="preserve">Izvedba tankoslojne fasade v sestavi (upoštevati tehnologijo proizvajalca), v dveh barvnih odtenkih po izboru naročnika:
~osnovni armirni sloj,
~armirna mrežica iz steklenih vlaken,
~izravnalni sloj,
~prednamaz za boljši oprijem zaključnega sloja (v barvi zaključnega sloja),
~zaključni fasadni omet na osnovi vodnega stekla in dodatkov, hidrofobiran z dodatkom za zaviranje rasti alg in plesni, barvne nianse po izboru naročnika, granulacije 2,0 mm, silikonski zaključni sloj,
~alkalno odporen profil za izvedbo zaključka fasade ob podstavku objekta,
~plastični profil z mrežico za izvedbo spodnjih robov z odkapom, špaletni profili,
~vsi naletni robovi se morajo ojačati s tipskimi PVC profili,
~izdelati je potrebno vse detalje skladno s tehničnimi smernicami in vgraditi vse tipske zaključne profile skladno s tehničnimi rešitvami proizvajalca fasadnega sistema.  </t>
  </si>
  <si>
    <t>Zaključni sloj</t>
  </si>
  <si>
    <t xml:space="preserve">Izvedba prestavitve elektro kabelske trase glavnega priključka na sevrni fasadni steni. V ceni je potrebno upoštevati začasno demontažo električnega vodnika, podaljšanje nosilnih konzol iz jeklenega, vročevaljanega U profila dimenzij UPN 60 za 160 mm in izdelavo potrebnih pritrditvenih izvrtin za ponovno montažo elektro kabla. Podaljšanje konzol se izvede z navaritvijo dodatnega profila; celotno, dodatno konstrukcijo je potrebno AK zaščititi s temeljnim premazom in zaključno barvati v niansi zaključnega fasadnega ometa. V ceni upoštevati tudi eventualno potrebno pridobitev soglasja in nadzor upravljalca dustribucijskega omrežja.            </t>
  </si>
  <si>
    <t>Enozrnati prodec</t>
  </si>
  <si>
    <t>Vrtni robniki</t>
  </si>
  <si>
    <t xml:space="preserve">Dobava in montaža lovilnega odra_nadstreška, minimalne širine 1,20 m. Oder za varen vstop v objekt. V ceni je potrebno upoštevati vzdrževanje odra v času gradnje. </t>
  </si>
  <si>
    <t>~pravokotnik</t>
  </si>
  <si>
    <t>Hidro izolacija</t>
  </si>
  <si>
    <t>Kompletna izvedba hidroizolacije vkopanega dela toplotne obloge z vsemi zaključki v naslednji sestavi:
~ 2x premaz površine s polimerno cementno maso (kot naprimer hidrostop elastik ali enakovredno). V prvi premaz se vgradi PVC armaturna mreža. V ceni je potrebno upoštevati tudi zaključek na kletni steni in zaščito hidroizolacije s čepasto folijo.</t>
  </si>
  <si>
    <t>Demontaža okenskih polic iz umetnega kamna debeline 3,80 cm. V ceni je potrebno upoštevati demontažo z izsekavanjem vključno s pripravo površine za izvedbo novih polic.</t>
  </si>
  <si>
    <t>Dobava, montaža in odstranitev fasadnega odra višine do 12 m, širine 0,80 m z izvedbo zapore površine iz perforiranih ponjav. V ceni je potrebno upoštevati: 
~statični izračun z upoštevanjem določil zakona o VZD, ~strošek amortizacije odra za ves čas gradnje, 
~izdelavo vse potrebne dokumentacije, kontrolnih listov,  ipd.</t>
  </si>
  <si>
    <t>Dobava in montaža zunanjih, kamnitih okenskih polic, kot na primer granit New Rosa_po izboru naročnika, do širine 35 cm. V ceni je potrebno upoštevati izvedbo vodotesnih stikov, pripravo podlage pred vgradnjo, skladno s posredovanimi tehničnimi smernicami in izvedbo stranskih, silikonskih, prosojnih nalimkov za preprečevanje močenja v coni odbojne vode špalet.</t>
  </si>
  <si>
    <t>Police_ granit</t>
  </si>
  <si>
    <t>Pazljiva demontaža obstoječih lesenih oken in balkonskih vrat iz opečnih, kamnitih ali betonskih zidov, vključno z demontažo notranjih polic ter rolet  vključno s škatlo za rolete dimenzij 30/25 cm:</t>
  </si>
  <si>
    <t>Demontaža oken</t>
  </si>
  <si>
    <t>Demontaža polic kamen</t>
  </si>
  <si>
    <t>Pazljiva demontaža osmih (8) poštnih nabiralnikov, skupnih dimenzij 76/40 cm. V ceni je potrebno upoštevati skladiščenje nabiralnikov do ponovne montaže.</t>
  </si>
  <si>
    <t>Montaža osmih (8) predhodno demontiranih poštnih nabiralnikov, skupne dimenzije 76/40 cm. V ceni je potrebno upoštevati ves pritrdilni material ustrezne dolžine in eventualno potrebne distančnike.</t>
  </si>
  <si>
    <t>Dobava in montaža konzole za izobešanje zastav. V ceni je potrebno upoštevati konzolo s tremi ležišči iz nerjavnega materiala vključno z vsem pritrdilnim in tesnilnim materialom.</t>
  </si>
  <si>
    <t xml:space="preserve">Dobava in vgradnja vogalnih profilov iz nerjavne pločevine, dimenzija 50/50/4 mm, dolžine 2000 mm.  V ceni je potrebno upoštevati ves pritrdilni material; naletni vogali objekta, glavni vhod, vhod v klet. </t>
  </si>
  <si>
    <t xml:space="preserve">Dograditev doze za meritveno mesto ozemljitve elektro dovoda. V ceni je potrebno upoštevati podaljšanje doze dimenzij 12/15 cm za debelino obloge vključno z dobavo in montažo novega pokrova v barvi zaključnega, fasadnega sloja. </t>
  </si>
  <si>
    <t>Zračenje stropnikov</t>
  </si>
  <si>
    <t>Demontaža konzole za izobešanje zastave.</t>
  </si>
  <si>
    <t>Demontaža vert odtočnih cevi</t>
  </si>
  <si>
    <t>Odtočni žleb_vertikalni</t>
  </si>
  <si>
    <t xml:space="preserve">Stavbno pohištvo mora biti izdelano iz visoko kvalitetnih PVC profilov za zunanjo uporabo, UV odpornih, minimalno šest komornih, ojačanih profilov z dodatno ojačitvijo zaradi povečane obremenitve glede na velikost posameznih elementov. Profil mora biti ojačan z nerjavečim jeklenim vložkom iz pločevine debeline minimalne debeline 2,0 mm, v profilu trapezne ojačitve - X struktura komor, profil mora vsebovati sredinsko - tretje tesnilo. Stavbno pohištvo mora ustrezati standardu SIST EN 14351-1:2006 + A1: 2010. Stavbno pohištvo v barvi po izboru naročnika, vgradnja stavbnega pohištva po principih RAL. Skupni faktor prevodnosti stavbnega pohištva s troslojnim steklom Uw = 0,80 W/m²K. Vse okovje nerjaveče (RF ali galvansko obdelano) mora ustrezati DIN EN 13126-8 (K- 130 kg ) kot na primer okovje Winkhaus Activ Pilot. Vsa stekla v sestavi 4-12-4-12-4, toplotna prevodnost okna največ Uw = 0,76W/m²K, s PVC distančniki, zvočna izolativnost najmanj Rw=32 dB, polnjeno z Argonom, termični vložek z vloženim sušilnim sredstvom in notranjim emisijskim Low- E nanosom. Trpežnost stavbnega pohištva pri obremenitvah z vetrom vsaj kategorije 3C, vodotesnost vsaj razred 7A, pepustnost zraka na pripirah vsaj 3 kategorije. Izvajalec je dolžan predhodno izdelati delavniški načrt vseh elementov stavbnega pohištva in pridobiti potrditev naročnika. </t>
  </si>
  <si>
    <t xml:space="preserve">Dobava in vgradnja zunanjih žaluzije Z-50 mm, vključno z masko iz Alu pločevine v barvi okenskih kril-fiksna Alu vodila, MC palica (kot na primer Krpanke ali enakovredno): </t>
  </si>
  <si>
    <t>Popravilo notranjih špalet po vgraditvi novih oken, v ceni je potrebno upoštevati polnjenje prostora po demontaži škatle za roleto dimenij 25/30 cm z XPS-om in zaključno obdelavo špalet enako kot obstoječa:</t>
  </si>
  <si>
    <t>~ fasadna površina</t>
  </si>
  <si>
    <t>~fasada ob vhodu</t>
  </si>
  <si>
    <t>~vhodna vrata</t>
  </si>
  <si>
    <t>Dobava in vgrajevanje drobljenca 0-32 mm z utrjevanjem v plasteh do 30 cm ter planiranjem zgornje površine v točnosti +- 2 cm.</t>
  </si>
  <si>
    <t>Tampon</t>
  </si>
  <si>
    <t xml:space="preserve">Polaganje predhodno odstranjenih tlakovcev debeline do 6,0 cm. V ceni je potrebno upoštevati fino izravnavo z gramozom frakcije 0-4 mm, v debelini do 2,0 cm in potrebno rezanje tlakovcev vključno s fugiranjem.    </t>
  </si>
  <si>
    <t>Polaganje tlakovcev</t>
  </si>
  <si>
    <t>Upravičeni stroški</t>
  </si>
  <si>
    <t>Neupravičeni stroški</t>
  </si>
  <si>
    <t xml:space="preserve">Dograditev prezračevalnih rež za zračenje glav stropnikov medetažne konstrukcije plošče nad pritličjem. V ceni je potrebno upoštevati dobavo in vgradnjo PVC cevi premera 50 mm ter dobavo in montažo mrežic iz nerjavnega materiala proti vstopu mrčesa in ptičev.  </t>
  </si>
  <si>
    <t xml:space="preserve">Dograditev prezračevalnega kanala iz PVC cevi premera 110 mm, dolžine do 20 cm. V ceni je potrebno upoštevati dobavo in vgradnjo PVC cevi ter dobavo in montažo okroglih, tipskih rešetk z gibljivimi lamelami.  </t>
  </si>
  <si>
    <t>Podaljševanje vodovodne inštalacije za vrtno pipo iz pocinkane cevi premera 1/2". V ceni je potrebno upoštevati tudi zamenjavo vrtne pipe ter ves tesnilni in pritrdilni material.</t>
  </si>
  <si>
    <t>Dobava in vgraditev peskolova iz betonske cevi Ø 40 cm, betonski pokrov, globina peskolova do 1,0 m. V ceni je potrebno upoštevati tudi priklop odtoka s strehe in priklop na kanalizacijski vod; vključno z vsemi potrebnimi zemeljskimi deli.</t>
  </si>
  <si>
    <t>VRSTA GRADNJE: ENERGETSKA SANACIJA OBJEKTA</t>
  </si>
  <si>
    <t>R E K A P I T U L A C I J A</t>
  </si>
  <si>
    <t xml:space="preserve">Sanacija betonskih površin, zmrzlinskih poškodb, korodirane armature na površini AB elementov, luščenje zaščitnega betona v zaplatah. Sanacija se izvaja po naslednjem postopku:
~ostranitev slabo sprijetih in poškodovanih plasti betona ter odstranitev zaščitnih plasti betona nad in v okolici korodirane armature
~čiščenje celotne betonske površine z vodnim curkom pod visokim pritiskom (ca 200 do 300 bar) in čiščenje korodirane armature s peskanjem ali kovinskimi ščetkami do kovinskega sijaja
~zaščita očiščenih armaturnih palic z visoko polimeriziranim cementnim premazom (kot na primer Sika Mono Top 910N v dveh nanosih ali enakovredno)
~sanacija poškodovanih površin z reparaturnimi, polimeriziranimi cementnimi maltami, (kot na primer Sika MonoTop 412N ali enakovredno), na sanirani površini predhodno izvesti kontaktni premaz; zunanje stopnišče.  </t>
  </si>
  <si>
    <t>Gradbena pomoč obrtnikom in inštalaterjem:</t>
  </si>
  <si>
    <t>Dobava in vgrajevanje eno zrnatega, pranega prodca, granulacije 16-32 mm s  planiranjem zgornje površine v točnosti ± 1,0 cm.</t>
  </si>
  <si>
    <t>Betonske plošče</t>
  </si>
  <si>
    <t xml:space="preserve">Dobava in montaža finalne obdelave zunanjih, tlakovanih površin s pranimi ploščami dimenzij 40/40/5 cm. V ceni je potrebno upoštavati pripravo podlage, komprimiranje do ustrezne zbitosti, izravnava površine z agregatom frakcije 0-4 mm, fugiranje stikov med ploščami s fino cementno malto. </t>
  </si>
  <si>
    <t>Tlakovanje prane plošče</t>
  </si>
  <si>
    <t>Špalete</t>
  </si>
  <si>
    <t>~vhod v klet</t>
  </si>
  <si>
    <t xml:space="preserve">Odstranitev tlaka iz betonskoh plošč dimenzij 40/40 cm, debeline 5,0 cm, položenih v gramozno nasutje, vključno z odvozoma na deponijo. </t>
  </si>
  <si>
    <t xml:space="preserve">Demontaža vseh elektro in strojnih inštalacij, ki so izvedene vidno po plošči nad kletjo. V ceni je potrebno upoštevati odstranitev sidernih elementov in začasno obešanje inštalacij do izvedbe toplotne obloge stropa. Po izvedbi toplotne obloge je potrebno izvesti ponovno pritrjevanje s sidernimi elementi ustrezne dolžine. V ceni je potrebno upoštevati začasno demontažo, pomožno obešanje inštalacij, ponovno fiksno montažo z vsemi eventualno potrebnimi prevezavami in pomožnimi konstrukcijami.     </t>
  </si>
  <si>
    <t>Izvedba tankoslojne fasade v sestavi (upoštevati tehnologijo proizvajalca), v dveh barvnih odtenkih po izboru naročnika:
~osnovni armirni sloj,
~armirna mrežica iz steklenih vlaken,
~izravnalni sloj,
~prednamaz za boljši oprijem zaključnega sloja (v barvi zaključnega sloja),
~zaključni fasadni omet na osnovi vodnega stekla in dodatkov, hidrofobiran z dodatkom za zaviranje rasti alg in plesni, barvne nianse po izboru naročnika, granulacije 2,0 mm, silikonski zaključni sloj.
Obdelava okroglega stebra s sloji kontaktne fasade.</t>
  </si>
  <si>
    <t>Okrogel steber</t>
  </si>
  <si>
    <t xml:space="preserve">Obnova lesenih vratnih kril in podbojev iz masivnega lesa, vključno z nastavitvijo zapiranja in servisom okovja z eventualno zamenjavo uničenih delov. Lesene dele vrat fino brusiti, eventualne poškodbe mizarsko kitati in barvati v niansi kot obstoječa: </t>
  </si>
  <si>
    <t>Slikanje notranjih površin sten in stropov, s predhodno izvedbo glajenja in eventualnim bandažiranjem razpok ter stikov pleskarske obdelave: 
~enkrat osnovni  premaz in dvakrat slikanje, izdelati po navodilu proizvajalca barve (kot na primer Jupol ali enakovredno); obdelava okolice zamenjanega stavbnega pohištva.</t>
  </si>
  <si>
    <t>Slikanje zunanjih, fasadnih površin z mikro armirano silikonsko, fasadno barvo, polnjeno s polipropilenskimi vlakni ter dodatno algicidno in fungicidno zaščiteno; vodo odbojno in paro propustno, barva v obstoječem tonu. 
~enkrat osnovni  premaz in dvakrat slikanje, na predhodno očiščeno površino, izdelati po navodilu proizvajalca barve (kot na primer Revitalkolor AG, ali enakovredno); strop vhodnega nadstreška.</t>
  </si>
  <si>
    <t xml:space="preserve">Demontaža lesenega nadstreška s kovinsko pod konstrukcijo. Konstrukcija strehe nadstrešeka je s  spodnje strani obdelana z deščičnim opažem, krita s profilirano Alu pločevino; enako je obdelana konstrukcija zahodne stene nadstreška.    </t>
  </si>
  <si>
    <t xml:space="preserve">Zazidava opuščenih inštalacijskih odprtin, dimenzij 25/25 cm, z opečnimi zidaki debeline 12 cm, MO 20, v ceni upoštevati opečni zidak NF, zidanje z apneno cementno malto v razmerju 1:3:9 in eno stranski grobi in fini omet; rešetki ob glavnem vhodu in na terasi. </t>
  </si>
  <si>
    <t>KERAMIČARSKA DELA</t>
  </si>
  <si>
    <t>X.</t>
  </si>
  <si>
    <t>S K U P A J   KERAMIČARSKA DELA</t>
  </si>
  <si>
    <t>Tla terasa</t>
  </si>
  <si>
    <t>NS obloga</t>
  </si>
  <si>
    <t>Čelo plošče</t>
  </si>
  <si>
    <t>Stopnišče</t>
  </si>
  <si>
    <t>NS obloga_stopnice</t>
  </si>
  <si>
    <t>Čelo stopnice</t>
  </si>
  <si>
    <t xml:space="preserve">Pleskanje zunanjega lesenega opaža napušča iz desk stikovanih na "pero in utor". V ceni je potrebno upoštevati predhodno čiščenje, brušenje površine in odstranitev razpokane obstoječe zaščite lesa; dvakratno pleskanje površine lesenega opaža z barva za zaščito lesa v obstoječi niansi. </t>
  </si>
  <si>
    <t>Revital kolor</t>
  </si>
  <si>
    <t>Pleskanje opaža</t>
  </si>
  <si>
    <t>~čelo</t>
  </si>
  <si>
    <t xml:space="preserve">~stranske </t>
  </si>
  <si>
    <t xml:space="preserve">Izdelava horizontalne hidroizolacije terase nad glavnim vhodom  s polimer cementno maso (Hidrostop elastik, ali enakovredno). V ceni je potrebno upoštevati izvedbo dveh (2) premazov, v prvem sloju je vgrajena PVC armirna mrežica in montažo tipskih kotnih  trakov (Kemaband 12, ali enakovredno) na stiku s steno. Stena se izolira do višine 30 cm. </t>
  </si>
  <si>
    <t>HI terasa</t>
  </si>
  <si>
    <t>Demontaža zunanjih senčil. V ceni je potrebno upoštevati demontažo vodil in maske, oziroma omarice. Senčila se do ponovne montaže hranijo v skladišču izvajalca.</t>
  </si>
  <si>
    <t>Kovinska ograja</t>
  </si>
  <si>
    <t xml:space="preserve">Pleskanje kovinske ograje iz okroglih profilov premera do 30 mm, višine do 105 mm, z polnili iz okroglih palic premera do 15 mm. V ceni je potrebno upoštevati čiščenje do kovinskega sijaja, AK zaščito in barvanje v obstoječem tonu. </t>
  </si>
  <si>
    <t>Slikanje notranjih, ometanih površin z barvami na apneni osnovi, s pripravo podlage, odstranitvijo neustreznih, predhodno izvedenih slojev barve:
~enkrat osnovni  premaz in dvakrat slikanje izdelati po navodilu proizvajalca barve; strop nad kletjo.</t>
  </si>
  <si>
    <t>Prestavitev PVC priključnih omaric dimenzij 22/29 cm za telekom in TK. V ceni je potrebno upoštevati pazljivo izsekavanje in ponovno vgradnjo v ravnini z novo izvedeno fasado, vključno z eventualno potrebnimi prevezavami, pridobivanjem soglasja in nadzorom in distributerja.</t>
  </si>
  <si>
    <t>DDV</t>
  </si>
  <si>
    <t>Skupaj z DDV:</t>
  </si>
  <si>
    <t>PLOŠČA NAD KLETJO</t>
  </si>
  <si>
    <t xml:space="preserve">Izvedba nosilnega sloja tankoslojne fasade v sestavi (upoštevati tehnologijo proizvajalca):
~osnovni armirni sloj,
~armirna mrežica iz steklenih vlaken,
~izravnalni sloj,
~izdelati je potrebno vse detalje skladno s tehničnimi smernicami in vgraditi vse tipske zaključne profile skladno s tehničnimi rešitvami proizvajalca fasadnega sistema; strop nad kletjo.  </t>
  </si>
  <si>
    <t>Bakelitna obloga_nosilni sloj</t>
  </si>
  <si>
    <r>
      <t>m</t>
    </r>
    <r>
      <rPr>
        <vertAlign val="superscript"/>
        <sz val="11"/>
        <rFont val="Calibri"/>
        <family val="2"/>
        <charset val="238"/>
      </rPr>
      <t>2</t>
    </r>
  </si>
  <si>
    <r>
      <t>~okna in balkonska vrata velikosti do 2 m</t>
    </r>
    <r>
      <rPr>
        <vertAlign val="superscript"/>
        <sz val="11"/>
        <rFont val="Calibri"/>
        <family val="2"/>
        <charset val="238"/>
      </rPr>
      <t>2</t>
    </r>
  </si>
  <si>
    <r>
      <t>~okna in balkonska vrata velikosti od 2 do 4 m</t>
    </r>
    <r>
      <rPr>
        <vertAlign val="superscript"/>
        <sz val="11"/>
        <rFont val="Calibri"/>
        <family val="2"/>
        <charset val="238"/>
      </rPr>
      <t>2</t>
    </r>
  </si>
  <si>
    <r>
      <t>m</t>
    </r>
    <r>
      <rPr>
        <vertAlign val="superscript"/>
        <sz val="11"/>
        <rFont val="Calibri"/>
        <family val="2"/>
        <charset val="238"/>
      </rPr>
      <t>1</t>
    </r>
  </si>
  <si>
    <r>
      <t xml:space="preserve">Rušenje peskolova iz betonske cevi </t>
    </r>
    <r>
      <rPr>
        <sz val="11"/>
        <rFont val="Symbol"/>
        <family val="1"/>
        <charset val="2"/>
      </rPr>
      <t>f</t>
    </r>
    <r>
      <rPr>
        <sz val="11"/>
        <rFont val="Calibri"/>
        <family val="2"/>
        <charset val="238"/>
      </rPr>
      <t xml:space="preserve"> 30 cm, globine do 1,0 m. V ceni je potrebno upoštevati tudi odstranitev izvedenih  priključkov in betonskega pokrova.    </t>
    </r>
  </si>
  <si>
    <r>
      <t xml:space="preserve">Demontaža PVC rešetk dimenzij 12/12 cm, oziroma </t>
    </r>
    <r>
      <rPr>
        <sz val="11"/>
        <rFont val="Calibri"/>
        <family val="2"/>
        <charset val="238"/>
      </rPr>
      <t>Φ 12 cm vključno z odvozom na deponijo.</t>
    </r>
  </si>
  <si>
    <r>
      <t xml:space="preserve">Pazljiva demontaža kovinskih rešetk dimenzij 25/25 cm </t>
    </r>
    <r>
      <rPr>
        <sz val="11"/>
        <rFont val="Calibri"/>
        <family val="2"/>
        <charset val="238"/>
      </rPr>
      <t>vključno z odvozom na deponijo; rešetki ob glavnem vhodu in na terasi.</t>
    </r>
  </si>
  <si>
    <r>
      <t>m</t>
    </r>
    <r>
      <rPr>
        <vertAlign val="superscript"/>
        <sz val="11"/>
        <rFont val="Calibri"/>
        <family val="2"/>
        <charset val="238"/>
      </rPr>
      <t>3</t>
    </r>
  </si>
  <si>
    <r>
      <t>~skupna površina špalet do 1,50 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;</t>
    </r>
  </si>
  <si>
    <r>
      <t>Dobava in vgrajevanje robnikov dim 5/25 cm,  obbetoniranje z betonom C 12/15, d</t>
    </r>
    <r>
      <rPr>
        <vertAlign val="subscript"/>
        <sz val="11"/>
        <rFont val="Calibri"/>
        <family val="2"/>
        <charset val="238"/>
      </rPr>
      <t>max</t>
    </r>
    <r>
      <rPr>
        <sz val="11"/>
        <rFont val="Calibri"/>
        <family val="2"/>
        <charset val="238"/>
      </rPr>
      <t>=32 mm, povprečna poraba do 0,02 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/m</t>
    </r>
    <r>
      <rPr>
        <vertAlign val="superscript"/>
        <sz val="11"/>
        <rFont val="Calibri"/>
        <family val="2"/>
        <charset val="238"/>
      </rPr>
      <t>1</t>
    </r>
    <r>
      <rPr>
        <sz val="11"/>
        <rFont val="Calibri"/>
        <family val="2"/>
        <charset val="238"/>
      </rPr>
      <t>. V ceni zajeta vsa pomožna dela, prenosi in transporti vsega potrebnega materiala do mesta vgrajevanja, izdelava po tipskem detajlu.</t>
    </r>
  </si>
  <si>
    <r>
      <t>Dobava in montaža fasadnih izolacijskih plošč iz toplotne izolacije na osnovi bakelita, debeline 6 cm:
- standard SIST EN 13501-1, razred gorljivosti A</t>
    </r>
    <r>
      <rPr>
        <vertAlign val="subscript"/>
        <sz val="11"/>
        <rFont val="Calibri"/>
        <family val="2"/>
        <charset val="238"/>
      </rPr>
      <t>1</t>
    </r>
    <r>
      <rPr>
        <sz val="11"/>
        <rFont val="Calibri"/>
        <family val="2"/>
        <charset val="238"/>
      </rPr>
      <t>, 
- toplotna prevodnost, λ=0,020 W/mK, SIST EN 12667, 
- montaža plošč se izvaja z lepljenjem in mehanskim pritrjevanjem s tipskimi pritrdilnimi sidri, s sidri 6 kos/m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. V ceni je potrebno upoštevati dobavo in montažo čepov za zapiranje utorov pri poglabljanju tipskih, pritrdilnih sidr; strop nad kletjo.</t>
    </r>
  </si>
  <si>
    <r>
      <t>Dobava in montaža fasadnih izolacijskih plošč iz ekspandiranega polistirena (EPS) debeline 14 cm:
- standard SIST EN 13163, razred gorljivosti E, 
- ekspandirane v kalupu z obojestranskim rastrom 1,0x1,0 cm, λ=0,031 W/m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K, gostota 20 kg/m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, odporna na vlago, 
- montaža plošč se izvaja z lepljenjem in mehanskim pritrjevanjem s tipskimi pritrdilnimi sidri, 6 kos/m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. V ceni je potrebno upoštevati dobavo in montažo čepov (rondel) za zapiranje utorov pri poglabljanju tipskih, pritrdilnih sidr. Detalj v območju stika s tlakovanimi površinami zunanje ureditve in terenom se izvede skladno s skico iz priložene tehnične dokumentacije; podzidek.</t>
    </r>
  </si>
  <si>
    <r>
      <t>Dobava in montaža fasadnih izolacijskih plošč iz ekspandiranega polistirena (EPS) debeline 2 cm:
- standard SIST EN 13163, razred gorljivosti E, 
- ekspandirane v kalupu z obojestranskim rastrom 1,0x1,0 cm, λ=0,031 W/m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K, gostota 20 kg/m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 xml:space="preserve">, odporna na vlago, 
- montaža plošč se izvaja z lepljenjem; špalete. </t>
    </r>
  </si>
  <si>
    <r>
      <t>Dobava in montaža fasadnih izolacijskih plošč iz toplotne izolacije na osnovi bakelita, debeline 6 cm:
- standard SIST EN 13501-1, razred gorljivosti A</t>
    </r>
    <r>
      <rPr>
        <vertAlign val="subscript"/>
        <sz val="11"/>
        <rFont val="Calibri"/>
        <family val="2"/>
        <charset val="238"/>
      </rPr>
      <t>1</t>
    </r>
    <r>
      <rPr>
        <sz val="11"/>
        <rFont val="Calibri"/>
        <family val="2"/>
        <charset val="238"/>
      </rPr>
      <t>, 
- toplotna prevodnost, λ=0,020 W/mK, SIST EN 12667, 
- montaža plošč se izvaja z lepljenjem in mehanskim pritrjevanjem s tipskimi pritrdilnimi sidri, s sidri 6 kos/m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. V ceni je potrebno upoštevati dobavo in montažo čepov za zapiranje utorov pri poglabljanju tipskih, pritrdilnih sidr; strop nad vhodom v klet.</t>
    </r>
  </si>
  <si>
    <r>
      <t>Obloga zunanjih površin terase s granito keramiko, razred drsnosti R11, na obstoječo keramiko. V ceni je potrebno upoštevati izvedbo kontaktnega premaza za lepljenje na keramiko in ustrezno lepilo. Obloga z lepljenjem, upoštevanjem vseh zaključkov in zaključnih profilov pri stiku obloge čela balkonske plošče in nizkostenske obrobe, višine 10 cm.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po izbiri naročnika; terasa nad glavnim vhodom.</t>
    </r>
  </si>
  <si>
    <r>
      <t>Izvedba nizko stenske obloge z granito keramiko v višini 10 cm. Obloga na pripravljeno površino, obloga z lepljenjem in upoštevanjem vseh zaključkov pri stiku s tlakom (trajno elestična rega).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kot talna.</t>
    </r>
  </si>
  <si>
    <r>
      <t>Izvedba obloge čela AB plošče terase z granito keramiko v višini do 25 cm. Obloga na pripravljeno površino, obloga z lepljenjem in upoštevanjem vseh Alu zaključnih pofilov pri stiku s tlakom.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kot talna.</t>
    </r>
  </si>
  <si>
    <r>
      <t>Obloga zunanjih površin stopnišča s granito keramiko, razred drsnosti R11, na terazzo obdelavo. V ceni je potrebno upoštevati izvedbo kontaktnega premaza za lepljenje na terazzo in ustrezno lepilo. Obloga z lepljenjem, upoštevanjem vseh Alu zaključnih profilov na robovih stopnic.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po izbiri naročnika; vhodno stopnišče.</t>
    </r>
  </si>
  <si>
    <r>
      <t>Izvedba obloge zunanje stranice stopnic z granito keramiko v višini do 35 cm. Obloga na pripravljeno površino, obloga z lepljenjem.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kot talna.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</si>
  <si>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</si>
  <si>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Dobava in montaža oken in balkonskih vrat iz PVC profilov, Ug=0,7 W/m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K, skupne toplotna prevodnost Uw=0,76 W/m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K, vključno z notranjimi PVC policami. Izdelava po naročilu, kombinirano odpiranje, dimenzije kot obstoječe stavbno pohištvo:</t>
    </r>
  </si>
  <si>
    <r>
      <t>~O</t>
    </r>
    <r>
      <rPr>
        <vertAlign val="sub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 xml:space="preserve">: velikosti 139x139 cm, enokrilno, profili v barvi po izboru naročnika, okno se izdela po predhodno potrjeni delavniški dokumentaciji. </t>
    </r>
  </si>
  <si>
    <r>
      <t>~O</t>
    </r>
    <r>
      <rPr>
        <vertAlign val="subscript"/>
        <sz val="11"/>
        <rFont val="Calibri"/>
        <family val="2"/>
        <charset val="238"/>
      </rPr>
      <t>4</t>
    </r>
    <r>
      <rPr>
        <sz val="11"/>
        <rFont val="Calibri"/>
        <family val="2"/>
        <charset val="238"/>
      </rPr>
      <t xml:space="preserve">: velikosti 179x139 cm, dvokrilno, profili v barvi po izboru naročnika, okno se izdela po predhodno potrjeni delavniški dokumentaciji. </t>
    </r>
  </si>
  <si>
    <r>
      <t>~O</t>
    </r>
    <r>
      <rPr>
        <vertAlign val="subscript"/>
        <sz val="11"/>
        <rFont val="Calibri"/>
        <family val="2"/>
        <charset val="238"/>
      </rPr>
      <t>7</t>
    </r>
    <r>
      <rPr>
        <sz val="11"/>
        <rFont val="Calibri"/>
        <family val="2"/>
        <charset val="238"/>
      </rPr>
      <t xml:space="preserve">: velikosti 79x139 cm, enokrilno, profili v barvi po izboru naročnika, okno se izdela po predhodno potrjeni delavniški dokumentaciji. </t>
    </r>
  </si>
  <si>
    <r>
      <t>~BV</t>
    </r>
    <r>
      <rPr>
        <vertAlign val="subscript"/>
        <sz val="11"/>
        <rFont val="Calibri"/>
        <family val="2"/>
        <charset val="238"/>
      </rPr>
      <t>1</t>
    </r>
    <r>
      <rPr>
        <sz val="11"/>
        <rFont val="Calibri"/>
        <family val="2"/>
        <charset val="238"/>
      </rPr>
      <t xml:space="preserve">: velikosti 79x209 cm, enokrilna, profili v barvi po izboru naročnika, balkonska vrata se izdela po predhodno potrjeni delavniški dokumentaciji. </t>
    </r>
  </si>
  <si>
    <r>
      <t>~BV</t>
    </r>
    <r>
      <rPr>
        <vertAlign val="sub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 xml:space="preserve">: velikosti 159x209 cm, dvokrilna, profili v barvi po izboru naročnika, okno se izdela po predhodno potrjeni delavniški dokumentaciji. </t>
    </r>
  </si>
  <si>
    <r>
      <t>~za okno O</t>
    </r>
    <r>
      <rPr>
        <vertAlign val="sub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 xml:space="preserve">: velikosti 139x139 cm.  </t>
    </r>
  </si>
  <si>
    <r>
      <t>~za okno O</t>
    </r>
    <r>
      <rPr>
        <vertAlign val="subscript"/>
        <sz val="11"/>
        <rFont val="Calibri"/>
        <family val="2"/>
        <charset val="238"/>
      </rPr>
      <t>4</t>
    </r>
    <r>
      <rPr>
        <sz val="11"/>
        <rFont val="Calibri"/>
        <family val="2"/>
        <charset val="238"/>
      </rPr>
      <t xml:space="preserve">: velikosti 179x139 cm; dvo delno. </t>
    </r>
  </si>
  <si>
    <r>
      <t>~za okno O</t>
    </r>
    <r>
      <rPr>
        <vertAlign val="subscript"/>
        <sz val="11"/>
        <rFont val="Calibri"/>
        <family val="2"/>
        <charset val="238"/>
      </rPr>
      <t>7</t>
    </r>
    <r>
      <rPr>
        <sz val="11"/>
        <rFont val="Calibri"/>
        <family val="2"/>
        <charset val="238"/>
      </rPr>
      <t xml:space="preserve">: velikosti 79x139 cm. </t>
    </r>
  </si>
  <si>
    <r>
      <t>~za balkonska vrata BV</t>
    </r>
    <r>
      <rPr>
        <vertAlign val="subscript"/>
        <sz val="11"/>
        <rFont val="Calibri"/>
        <family val="2"/>
        <charset val="238"/>
      </rPr>
      <t>1</t>
    </r>
    <r>
      <rPr>
        <sz val="11"/>
        <rFont val="Calibri"/>
        <family val="2"/>
        <charset val="238"/>
      </rPr>
      <t xml:space="preserve">: velikosti 79x209 cm. </t>
    </r>
  </si>
  <si>
    <r>
      <t>~za balkonska vrata BV</t>
    </r>
    <r>
      <rPr>
        <vertAlign val="sub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 xml:space="preserve">: velikosti 159x209 cm, dvo delna. </t>
    </r>
  </si>
  <si>
    <r>
      <t>~V</t>
    </r>
    <r>
      <rPr>
        <vertAlign val="subscript"/>
        <sz val="11"/>
        <rFont val="Calibri"/>
        <family val="2"/>
        <charset val="238"/>
      </rPr>
      <t>1</t>
    </r>
    <r>
      <rPr>
        <sz val="11"/>
        <rFont val="Calibri"/>
        <family val="2"/>
        <charset val="238"/>
      </rPr>
      <t>: velikosti 90+38x200 cm, vhodna vrata v klet  obvratno zasteklitvijo.</t>
    </r>
  </si>
  <si>
    <r>
      <t xml:space="preserve">Demontaža nadometno izvedene inštalacije telefona, dobava in polaganje zaščitne cevi </t>
    </r>
    <r>
      <rPr>
        <sz val="11"/>
        <rFont val="Calibri"/>
        <family val="2"/>
        <charset val="238"/>
      </rPr>
      <t>Φ 16 mm, uvlačenje  razvoda v zaščitno cev. V ceni je potrebno upoštevati tudi izdelavo in zazidavo utora v fasadmen zidu.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</si>
  <si>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8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</si>
  <si>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3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</si>
  <si>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4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</si>
  <si>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7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</si>
  <si>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>5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</si>
  <si>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>6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</si>
  <si>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2 </t>
    </r>
  </si>
  <si>
    <r>
      <t>~ BV</t>
    </r>
    <r>
      <rPr>
        <vertAlign val="subscript"/>
        <sz val="11"/>
        <rFont val="Calibri"/>
        <family val="2"/>
        <charset val="238"/>
        <scheme val="minor"/>
      </rPr>
      <t xml:space="preserve">1 </t>
    </r>
  </si>
  <si>
    <r>
      <t>~ BV</t>
    </r>
    <r>
      <rPr>
        <vertAlign val="subscript"/>
        <sz val="11"/>
        <rFont val="Calibri"/>
        <family val="2"/>
        <charset val="238"/>
        <scheme val="minor"/>
      </rPr>
      <t xml:space="preserve">2 </t>
    </r>
  </si>
  <si>
    <t>Sanacija betona_stopnice</t>
  </si>
  <si>
    <t>~plošča terase</t>
  </si>
  <si>
    <r>
      <t>Dobava in montaža fasadnih izolacijskih plošč iz ekspandiranega polistirena z dodatkom grafita, debeline 14 cm:
- standard SIST EN 13501-1, razred gorljivosti E, 
- toplotna prevodnost, λ=0,032 W/mK, SIST EN 12667, 
- montaža plošč se izvaja z lepljenjem in mehanskim pritrjevanjem s sidri, 6 kos/m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 xml:space="preserve">. V ceni je potrebno upoštevati dobavo in montažo čepov (rondel) za zapiranje utorov pri poglabljanju mehanskih, pritrdilnih sidr in izvedbo proti požarne zaščite nad vsemi okni v višini 20 cm, 30 cm levo in desno od vertikalne okenske špalete z oblogo iz kamene volne, razred gorljivosti A1; fasadne površine.  </t>
    </r>
  </si>
  <si>
    <t xml:space="preserve">Odstranitev vertikalnih odtočnih žlebov iz Alu, barvane pločevine, premera do 100 mm. V ceni je potrebno upoštevati tudi demontažo pritrdilnih objemk, demontažo odvodne cevi na mestu spoja s kotličkom in porušitev priklopa na peskolov.  </t>
  </si>
  <si>
    <t xml:space="preserve">Dobava in montaža vertikalnega, strešnega žlebu iz Alu plastificirane pločevine, debline 0,7 mm, premera 100 mm, niansa po izboru naročnika. V ceni je potrebno upoštevati tudi dobavo in montažo pritrdilnih objemk vključno z vsem pritrdilnim in tesnilnim materialom.  </t>
  </si>
  <si>
    <t xml:space="preserve">XI. </t>
  </si>
  <si>
    <t>PREZRAČEVANJE</t>
  </si>
  <si>
    <t>Mitsubishi Electric VL-50ES2-E</t>
  </si>
  <si>
    <t xml:space="preserve">Lokalna prezračevalna naprava, s patentiranim visoko učinkovitim ,,Hyper Eco,, toplotnim izmenjevalcem iz papirja LOSSNAY, za postavitev na steno prezračevanega prostora. </t>
  </si>
  <si>
    <t>- dvo stopenjski ventilator z nastavitvijo pretoka na 60% / 100% celotne količine</t>
  </si>
  <si>
    <t>- zračni filter EU-G3</t>
  </si>
  <si>
    <t xml:space="preserve">- vključno s priključnimo cevjo Ø 100 do dolžine max. 650 mm </t>
  </si>
  <si>
    <t xml:space="preserve">- vključno z zunanjo pokrivno rozeto Ø 180 × 109 mm za dovod in odovod zraka </t>
  </si>
  <si>
    <t>- za regulacijo naprave se izbere stikalo z funkcijami vklop/izklop in prva/druga hitrost ventilacije (ni v dobavi proizvoda)</t>
  </si>
  <si>
    <t>PROIZVAJALEC: Mitsubishi Electric, Japonska</t>
  </si>
  <si>
    <t>UVOZNIK: REAM d.o.o., Trzin</t>
  </si>
  <si>
    <t>TEHNIČNI PODATKI:</t>
  </si>
  <si>
    <t xml:space="preserve">Električni priključek: 230V/1F/50Hz </t>
  </si>
  <si>
    <t>Električna moč: 4.5 / 20 W</t>
  </si>
  <si>
    <t>Pretok zraka: 16 / 52.5 m3/h</t>
  </si>
  <si>
    <t>Zunanji statični tlak: 0 Pa</t>
  </si>
  <si>
    <t>Učinkovitost temperaturne izmenjave: 69 / 85 %</t>
  </si>
  <si>
    <t>Nivo hrupa (SPL): 15 / 37 dB(A)</t>
  </si>
  <si>
    <t>Dimenzije enote (V x Š x G): 245 x 522 × 168 mm (mere brez priključkov)</t>
  </si>
  <si>
    <t>Teža enote: 6,2 kg</t>
  </si>
  <si>
    <t>Mitsubishi Electric VL-100EU5-E</t>
  </si>
  <si>
    <t xml:space="preserve">- vključno s priključnimi cevmi Ø 75 do dolžine max. 550 mm </t>
  </si>
  <si>
    <t xml:space="preserve">- vključno z zunanjimi pokrvnimi rozetami Ø 150 × 106 mm za dovod in odovod zraka </t>
  </si>
  <si>
    <t>Električna moč: 17 / 34W</t>
  </si>
  <si>
    <t>Pretok zraka: 61 / 106 m3/h</t>
  </si>
  <si>
    <t>Učinkovitost temperaturne izmenjave: 79 / 72 %</t>
  </si>
  <si>
    <t>Nivo hrupa (SPL): 27 / 38 dB(A)</t>
  </si>
  <si>
    <t>Dimenzije enote (V x Š x G): 265 x 620 × 200 mm (mere brez priključkov)</t>
  </si>
  <si>
    <t>Teža enote: 7,5 kg</t>
  </si>
  <si>
    <t>Montaža prezračevalne naprave VL</t>
  </si>
  <si>
    <t>- preboj stene 2× Ø 75 (pri VL100) oz. 1 × Ø 100 (pri VL50)</t>
  </si>
  <si>
    <t>- vgradnja prezračevalnih cevi v steno</t>
  </si>
  <si>
    <t>- montaža naprava na montažno plošč in priklop prezračevalnih cevi</t>
  </si>
  <si>
    <t>- montaža okrasnih rozet na zunanji steni</t>
  </si>
  <si>
    <t>- montaža in priklop elektro dovodnega kabla</t>
  </si>
  <si>
    <t>- montaža in priklop elektro stikala za regulacijo naprave</t>
  </si>
  <si>
    <t>Dimenzija priključkov za zrak (mm): Ø100</t>
  </si>
  <si>
    <t>Dimenzija priključkov za zrak (mm): Ø75</t>
  </si>
  <si>
    <t xml:space="preserve">Kombiniran izkop, globine do 0,5 m, v terenu III. kategorije, planiranje dna ročno. V ceni je potrebno upoštevati nalaganje izkopanega marteriala na transportno sredstvo in odvoz na komunalno deponijo s plačilom vseh pristojbin. </t>
  </si>
  <si>
    <t>E.M.</t>
  </si>
  <si>
    <t>Količina</t>
  </si>
  <si>
    <t>Cena</t>
  </si>
  <si>
    <t xml:space="preserve">Skupaj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</si>
</sst>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#,##0.00;&quot;&quot;"/>
    <numFmt numFmtId="165" formatCode="0.0000"/>
    <numFmt numFmtId="166" formatCode="dd/mm/yyyy;@"/>
  </numFmts>
  <fonts count="37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1"/>
      <name val="Calibri"/>
      <family val="2"/>
      <charset val="238"/>
    </font>
    <font>
      <sz val="11"/>
      <name val="Symbol"/>
      <family val="1"/>
      <charset val="2"/>
    </font>
    <font>
      <vertAlign val="superscript"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8" fillId="4" borderId="0" applyNumberFormat="0" applyBorder="0" applyAlignment="0" applyProtection="0"/>
    <xf numFmtId="0" fontId="15" fillId="16" borderId="1" applyNumberFormat="0" applyAlignment="0" applyProtection="0"/>
    <xf numFmtId="0" fontId="16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4" fillId="17" borderId="0" applyNumberFormat="0" applyBorder="0" applyAlignment="0" applyProtection="0"/>
    <xf numFmtId="0" fontId="19" fillId="18" borderId="5" applyNumberFormat="0" applyAlignment="0" applyProtection="0"/>
    <xf numFmtId="0" fontId="1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13" fillId="0" borderId="6" applyNumberFormat="0" applyFill="0" applyAlignment="0" applyProtection="0"/>
    <xf numFmtId="0" fontId="6" fillId="23" borderId="7" applyNumberFormat="0" applyAlignment="0" applyProtection="0"/>
    <xf numFmtId="0" fontId="5" fillId="16" borderId="8" applyNumberFormat="0" applyAlignment="0" applyProtection="0"/>
    <xf numFmtId="0" fontId="4" fillId="3" borderId="0" applyNumberFormat="0" applyBorder="0" applyAlignment="0" applyProtection="0"/>
    <xf numFmtId="0" fontId="12" fillId="7" borderId="8" applyNumberFormat="0" applyAlignment="0" applyProtection="0"/>
    <xf numFmtId="0" fontId="17" fillId="0" borderId="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0" fontId="22" fillId="0" borderId="0"/>
  </cellStyleXfs>
  <cellXfs count="281">
    <xf numFmtId="0" fontId="0" fillId="0" borderId="0" xfId="0"/>
    <xf numFmtId="4" fontId="20" fillId="0" borderId="0" xfId="26" applyNumberFormat="1" applyFont="1" applyFill="1" applyBorder="1" applyAlignment="1" applyProtection="1">
      <alignment horizontal="right"/>
    </xf>
    <xf numFmtId="49" fontId="21" fillId="0" borderId="0" xfId="26" applyNumberFormat="1" applyFont="1" applyFill="1" applyBorder="1" applyAlignment="1" applyProtection="1">
      <alignment horizontal="right" vertical="top"/>
    </xf>
    <xf numFmtId="0" fontId="21" fillId="0" borderId="0" xfId="26" applyFont="1" applyFill="1" applyBorder="1" applyAlignment="1" applyProtection="1">
      <alignment horizontal="justify" vertical="top" wrapText="1"/>
    </xf>
    <xf numFmtId="0" fontId="21" fillId="0" borderId="11" xfId="26" applyFont="1" applyFill="1" applyBorder="1" applyAlignment="1" applyProtection="1">
      <alignment horizontal="left" vertical="top" wrapText="1"/>
    </xf>
    <xf numFmtId="0" fontId="20" fillId="0" borderId="11" xfId="26" applyFont="1" applyFill="1" applyBorder="1" applyAlignment="1" applyProtection="1">
      <alignment horizontal="center"/>
    </xf>
    <xf numFmtId="0" fontId="20" fillId="0" borderId="0" xfId="26" applyFont="1" applyFill="1" applyBorder="1" applyAlignment="1" applyProtection="1">
      <alignment horizontal="center"/>
    </xf>
    <xf numFmtId="0" fontId="21" fillId="0" borderId="0" xfId="26" applyFont="1" applyFill="1" applyBorder="1" applyAlignment="1" applyProtection="1">
      <alignment horizontal="center" vertical="center"/>
    </xf>
    <xf numFmtId="1" fontId="20" fillId="0" borderId="0" xfId="26" applyNumberFormat="1" applyFont="1" applyFill="1" applyBorder="1" applyAlignment="1" applyProtection="1">
      <alignment horizontal="right" vertical="top"/>
    </xf>
    <xf numFmtId="49" fontId="21" fillId="0" borderId="0" xfId="30" applyNumberFormat="1" applyFont="1" applyFill="1" applyBorder="1" applyAlignment="1" applyProtection="1">
      <alignment horizontal="right" vertical="top"/>
    </xf>
    <xf numFmtId="0" fontId="21" fillId="0" borderId="0" xfId="30" applyFont="1" applyFill="1" applyBorder="1" applyAlignment="1" applyProtection="1">
      <alignment horizontal="justify" vertical="top" wrapText="1"/>
    </xf>
    <xf numFmtId="0" fontId="20" fillId="0" borderId="0" xfId="30" applyFont="1" applyFill="1" applyBorder="1" applyAlignment="1" applyProtection="1">
      <alignment horizontal="center"/>
    </xf>
    <xf numFmtId="49" fontId="20" fillId="0" borderId="0" xfId="30" applyNumberFormat="1" applyFont="1" applyFill="1" applyBorder="1" applyAlignment="1" applyProtection="1">
      <alignment horizontal="right" vertical="top"/>
    </xf>
    <xf numFmtId="0" fontId="21" fillId="0" borderId="11" xfId="30" applyFont="1" applyFill="1" applyBorder="1" applyAlignment="1" applyProtection="1">
      <alignment horizontal="left" vertical="top" wrapText="1"/>
    </xf>
    <xf numFmtId="0" fontId="20" fillId="0" borderId="11" xfId="30" applyFont="1" applyFill="1" applyBorder="1" applyAlignment="1" applyProtection="1">
      <alignment horizontal="center"/>
    </xf>
    <xf numFmtId="0" fontId="21" fillId="0" borderId="0" xfId="30" applyFont="1" applyFill="1" applyBorder="1" applyAlignment="1" applyProtection="1">
      <alignment horizontal="left" vertical="top" wrapText="1"/>
    </xf>
    <xf numFmtId="49" fontId="21" fillId="0" borderId="0" xfId="27" applyNumberFormat="1" applyFont="1" applyFill="1" applyBorder="1" applyAlignment="1" applyProtection="1">
      <alignment horizontal="right" vertical="top"/>
    </xf>
    <xf numFmtId="4" fontId="21" fillId="0" borderId="0" xfId="29" applyNumberFormat="1" applyFont="1" applyFill="1" applyBorder="1" applyAlignment="1" applyProtection="1">
      <alignment horizontal="justify" vertical="top" wrapText="1"/>
    </xf>
    <xf numFmtId="0" fontId="20" fillId="0" borderId="0" xfId="27" applyFont="1" applyFill="1" applyBorder="1" applyAlignment="1" applyProtection="1">
      <alignment horizontal="center"/>
    </xf>
    <xf numFmtId="49" fontId="20" fillId="0" borderId="0" xfId="27" applyNumberFormat="1" applyFont="1" applyFill="1" applyBorder="1" applyAlignment="1" applyProtection="1">
      <alignment horizontal="right" vertical="top"/>
    </xf>
    <xf numFmtId="0" fontId="20" fillId="0" borderId="0" xfId="27" applyFont="1" applyFill="1" applyBorder="1" applyAlignment="1" applyProtection="1">
      <alignment horizontal="justify" vertical="top" wrapText="1"/>
    </xf>
    <xf numFmtId="0" fontId="21" fillId="0" borderId="11" xfId="27" applyFont="1" applyFill="1" applyBorder="1" applyAlignment="1" applyProtection="1">
      <alignment horizontal="left" vertical="top" wrapText="1"/>
    </xf>
    <xf numFmtId="0" fontId="20" fillId="0" borderId="11" xfId="27" applyFont="1" applyFill="1" applyBorder="1" applyAlignment="1" applyProtection="1">
      <alignment horizontal="center"/>
    </xf>
    <xf numFmtId="49" fontId="21" fillId="0" borderId="0" xfId="28" applyNumberFormat="1" applyFont="1" applyFill="1" applyBorder="1" applyAlignment="1" applyProtection="1">
      <alignment horizontal="right" vertical="top"/>
    </xf>
    <xf numFmtId="0" fontId="21" fillId="0" borderId="0" xfId="28" applyFont="1" applyFill="1" applyBorder="1" applyAlignment="1" applyProtection="1">
      <alignment horizontal="justify" vertical="top" wrapText="1"/>
    </xf>
    <xf numFmtId="0" fontId="20" fillId="0" borderId="0" xfId="28" applyFont="1" applyFill="1" applyBorder="1" applyAlignment="1" applyProtection="1">
      <alignment horizontal="center"/>
    </xf>
    <xf numFmtId="49" fontId="20" fillId="0" borderId="0" xfId="28" applyNumberFormat="1" applyFont="1" applyFill="1" applyBorder="1" applyAlignment="1" applyProtection="1">
      <alignment horizontal="right" vertical="top"/>
    </xf>
    <xf numFmtId="0" fontId="20" fillId="0" borderId="11" xfId="28" applyFont="1" applyFill="1" applyBorder="1" applyAlignment="1" applyProtection="1">
      <alignment horizontal="center"/>
    </xf>
    <xf numFmtId="0" fontId="21" fillId="0" borderId="0" xfId="28" applyFont="1" applyFill="1" applyBorder="1" applyAlignment="1" applyProtection="1">
      <alignment horizontal="left" vertical="top" wrapText="1"/>
    </xf>
    <xf numFmtId="4" fontId="20" fillId="0" borderId="11" xfId="26" applyNumberFormat="1" applyFont="1" applyFill="1" applyBorder="1" applyAlignment="1" applyProtection="1">
      <alignment horizontal="right"/>
    </xf>
    <xf numFmtId="4" fontId="21" fillId="0" borderId="11" xfId="26" applyNumberFormat="1" applyFont="1" applyFill="1" applyBorder="1" applyAlignment="1" applyProtection="1">
      <alignment horizontal="right"/>
    </xf>
    <xf numFmtId="4" fontId="21" fillId="0" borderId="0" xfId="26" applyNumberFormat="1" applyFont="1" applyFill="1" applyBorder="1" applyAlignment="1" applyProtection="1">
      <alignment horizontal="right" vertical="center"/>
    </xf>
    <xf numFmtId="4" fontId="20" fillId="0" borderId="0" xfId="26" applyNumberFormat="1" applyFont="1" applyFill="1" applyBorder="1" applyAlignment="1" applyProtection="1"/>
    <xf numFmtId="4" fontId="20" fillId="0" borderId="0" xfId="30" applyNumberFormat="1" applyFont="1" applyFill="1" applyBorder="1" applyAlignment="1" applyProtection="1">
      <alignment horizontal="right"/>
    </xf>
    <xf numFmtId="4" fontId="20" fillId="0" borderId="11" xfId="30" applyNumberFormat="1" applyFont="1" applyFill="1" applyBorder="1" applyAlignment="1" applyProtection="1">
      <alignment horizontal="right"/>
    </xf>
    <xf numFmtId="4" fontId="21" fillId="0" borderId="11" xfId="30" applyNumberFormat="1" applyFont="1" applyFill="1" applyBorder="1" applyAlignment="1" applyProtection="1">
      <alignment horizontal="right"/>
    </xf>
    <xf numFmtId="4" fontId="21" fillId="0" borderId="0" xfId="30" applyNumberFormat="1" applyFont="1" applyFill="1" applyBorder="1" applyAlignment="1" applyProtection="1">
      <alignment horizontal="right"/>
    </xf>
    <xf numFmtId="4" fontId="20" fillId="0" borderId="0" xfId="27" applyNumberFormat="1" applyFont="1" applyFill="1" applyBorder="1" applyAlignment="1" applyProtection="1">
      <alignment horizontal="right"/>
    </xf>
    <xf numFmtId="4" fontId="20" fillId="0" borderId="11" xfId="27" applyNumberFormat="1" applyFont="1" applyFill="1" applyBorder="1" applyAlignment="1" applyProtection="1">
      <alignment horizontal="right"/>
    </xf>
    <xf numFmtId="4" fontId="21" fillId="0" borderId="11" xfId="27" applyNumberFormat="1" applyFont="1" applyFill="1" applyBorder="1" applyAlignment="1" applyProtection="1">
      <alignment horizontal="right"/>
    </xf>
    <xf numFmtId="4" fontId="20" fillId="0" borderId="0" xfId="28" applyNumberFormat="1" applyFont="1" applyFill="1" applyBorder="1" applyAlignment="1" applyProtection="1">
      <alignment horizontal="right"/>
    </xf>
    <xf numFmtId="4" fontId="20" fillId="0" borderId="11" xfId="28" applyNumberFormat="1" applyFont="1" applyFill="1" applyBorder="1" applyAlignment="1" applyProtection="1">
      <alignment horizontal="right"/>
    </xf>
    <xf numFmtId="4" fontId="21" fillId="0" borderId="11" xfId="28" applyNumberFormat="1" applyFont="1" applyFill="1" applyBorder="1" applyAlignment="1" applyProtection="1">
      <alignment horizontal="right"/>
    </xf>
    <xf numFmtId="4" fontId="21" fillId="0" borderId="0" xfId="28" applyNumberFormat="1" applyFont="1" applyFill="1" applyBorder="1" applyAlignment="1" applyProtection="1">
      <alignment horizontal="right"/>
    </xf>
    <xf numFmtId="4" fontId="20" fillId="0" borderId="0" xfId="30" applyNumberFormat="1" applyFont="1" applyFill="1" applyBorder="1" applyProtection="1"/>
    <xf numFmtId="3" fontId="20" fillId="0" borderId="0" xfId="0" applyNumberFormat="1" applyFont="1" applyFill="1"/>
    <xf numFmtId="4" fontId="25" fillId="0" borderId="0" xfId="0" applyNumberFormat="1" applyFont="1" applyFill="1" applyAlignment="1">
      <alignment horizontal="center" vertical="center" wrapText="1"/>
    </xf>
    <xf numFmtId="164" fontId="24" fillId="0" borderId="0" xfId="26" applyNumberFormat="1" applyFont="1" applyFill="1" applyBorder="1" applyAlignment="1" applyProtection="1"/>
    <xf numFmtId="0" fontId="26" fillId="0" borderId="0" xfId="0" applyFont="1"/>
    <xf numFmtId="0" fontId="24" fillId="0" borderId="0" xfId="0" applyFont="1"/>
    <xf numFmtId="0" fontId="26" fillId="0" borderId="0" xfId="0" applyFont="1" applyAlignment="1">
      <alignment horizontal="right"/>
    </xf>
    <xf numFmtId="4" fontId="24" fillId="0" borderId="0" xfId="0" applyNumberFormat="1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 wrapText="1"/>
    </xf>
    <xf numFmtId="49" fontId="20" fillId="0" borderId="0" xfId="26" applyNumberFormat="1" applyFont="1" applyFill="1" applyBorder="1" applyAlignment="1" applyProtection="1">
      <alignment horizontal="right" vertical="top"/>
    </xf>
    <xf numFmtId="4" fontId="20" fillId="0" borderId="0" xfId="0" applyNumberFormat="1" applyFont="1" applyFill="1"/>
    <xf numFmtId="4" fontId="24" fillId="0" borderId="0" xfId="0" applyNumberFormat="1" applyFont="1" applyFill="1"/>
    <xf numFmtId="164" fontId="24" fillId="0" borderId="0" xfId="30" applyNumberFormat="1" applyFont="1" applyFill="1" applyBorder="1" applyProtection="1"/>
    <xf numFmtId="164" fontId="24" fillId="0" borderId="0" xfId="28" applyNumberFormat="1" applyFont="1" applyFill="1" applyBorder="1" applyAlignment="1" applyProtection="1"/>
    <xf numFmtId="4" fontId="24" fillId="0" borderId="0" xfId="28" applyNumberFormat="1" applyFont="1" applyFill="1" applyBorder="1" applyAlignment="1" applyProtection="1"/>
    <xf numFmtId="4" fontId="24" fillId="0" borderId="0" xfId="0" applyNumberFormat="1" applyFont="1"/>
    <xf numFmtId="4" fontId="26" fillId="0" borderId="0" xfId="0" applyNumberFormat="1" applyFont="1"/>
    <xf numFmtId="0" fontId="26" fillId="0" borderId="12" xfId="0" applyFont="1" applyBorder="1"/>
    <xf numFmtId="4" fontId="26" fillId="0" borderId="11" xfId="0" applyNumberFormat="1" applyFont="1" applyBorder="1"/>
    <xf numFmtId="4" fontId="26" fillId="0" borderId="13" xfId="0" applyNumberFormat="1" applyFont="1" applyBorder="1"/>
    <xf numFmtId="4" fontId="26" fillId="0" borderId="12" xfId="0" applyNumberFormat="1" applyFont="1" applyBorder="1"/>
    <xf numFmtId="10" fontId="26" fillId="0" borderId="13" xfId="0" applyNumberFormat="1" applyFont="1" applyBorder="1"/>
    <xf numFmtId="0" fontId="24" fillId="0" borderId="0" xfId="0" applyFont="1" applyAlignment="1">
      <alignment horizontal="right"/>
    </xf>
    <xf numFmtId="4" fontId="26" fillId="0" borderId="0" xfId="0" applyNumberFormat="1" applyFont="1" applyAlignment="1">
      <alignment horizontal="center"/>
    </xf>
    <xf numFmtId="4" fontId="25" fillId="0" borderId="0" xfId="0" applyNumberFormat="1" applyFont="1" applyFill="1"/>
    <xf numFmtId="4" fontId="26" fillId="0" borderId="0" xfId="0" applyNumberFormat="1" applyFont="1" applyFill="1"/>
    <xf numFmtId="4" fontId="25" fillId="0" borderId="0" xfId="0" applyNumberFormat="1" applyFont="1" applyFill="1" applyAlignment="1">
      <alignment horizontal="right"/>
    </xf>
    <xf numFmtId="4" fontId="24" fillId="0" borderId="0" xfId="0" applyNumberFormat="1" applyFont="1" applyFill="1" applyAlignment="1">
      <alignment horizontal="right"/>
    </xf>
    <xf numFmtId="4" fontId="25" fillId="0" borderId="12" xfId="0" applyNumberFormat="1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right" vertical="center" wrapText="1"/>
    </xf>
    <xf numFmtId="4" fontId="24" fillId="0" borderId="0" xfId="0" applyNumberFormat="1" applyFont="1" applyFill="1" applyAlignment="1">
      <alignment horizontal="right" vertical="center" wrapText="1"/>
    </xf>
    <xf numFmtId="4" fontId="24" fillId="0" borderId="0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Fill="1" applyBorder="1" applyAlignment="1">
      <alignment horizontal="center" vertical="center" wrapText="1"/>
    </xf>
    <xf numFmtId="0" fontId="21" fillId="0" borderId="0" xfId="26" applyFont="1" applyFill="1" applyBorder="1" applyAlignment="1" applyProtection="1">
      <alignment horizontal="left" vertical="top" wrapText="1"/>
    </xf>
    <xf numFmtId="4" fontId="21" fillId="0" borderId="0" xfId="26" applyNumberFormat="1" applyFont="1" applyFill="1" applyBorder="1" applyAlignment="1" applyProtection="1">
      <alignment horizontal="right"/>
    </xf>
    <xf numFmtId="49" fontId="24" fillId="0" borderId="0" xfId="0" applyNumberFormat="1" applyFont="1" applyAlignment="1" applyProtection="1">
      <alignment horizontal="justify" vertical="top" wrapText="1"/>
    </xf>
    <xf numFmtId="0" fontId="24" fillId="0" borderId="0" xfId="0" applyFont="1" applyAlignment="1" applyProtection="1">
      <alignment horizontal="center"/>
    </xf>
    <xf numFmtId="4" fontId="20" fillId="0" borderId="0" xfId="0" applyNumberFormat="1" applyFont="1" applyAlignment="1" applyProtection="1"/>
    <xf numFmtId="4" fontId="20" fillId="0" borderId="0" xfId="0" applyNumberFormat="1" applyFont="1" applyAlignment="1" applyProtection="1">
      <alignment horizontal="right"/>
    </xf>
    <xf numFmtId="4" fontId="25" fillId="0" borderId="0" xfId="0" applyNumberFormat="1" applyFont="1" applyFill="1" applyAlignment="1">
      <alignment wrapText="1"/>
    </xf>
    <xf numFmtId="4" fontId="25" fillId="0" borderId="0" xfId="0" applyNumberFormat="1" applyFont="1" applyFill="1" applyBorder="1" applyAlignment="1">
      <alignment wrapText="1"/>
    </xf>
    <xf numFmtId="4" fontId="25" fillId="0" borderId="0" xfId="0" applyNumberFormat="1" applyFont="1" applyFill="1" applyAlignment="1">
      <alignment horizontal="right" vertical="center"/>
    </xf>
    <xf numFmtId="4" fontId="25" fillId="0" borderId="13" xfId="0" applyNumberFormat="1" applyFont="1" applyFill="1" applyBorder="1" applyAlignment="1">
      <alignment horizontal="right" vertical="center" wrapText="1"/>
    </xf>
    <xf numFmtId="4" fontId="25" fillId="24" borderId="0" xfId="0" applyNumberFormat="1" applyFont="1" applyFill="1"/>
    <xf numFmtId="4" fontId="26" fillId="0" borderId="0" xfId="0" applyNumberFormat="1" applyFont="1" applyFill="1" applyAlignment="1">
      <alignment horizontal="right"/>
    </xf>
    <xf numFmtId="4" fontId="24" fillId="0" borderId="0" xfId="0" applyNumberFormat="1" applyFont="1" applyFill="1" applyAlignment="1">
      <alignment horizontal="right" vertical="center"/>
    </xf>
    <xf numFmtId="4" fontId="24" fillId="0" borderId="0" xfId="0" applyNumberFormat="1" applyFont="1" applyFill="1" applyBorder="1" applyAlignment="1">
      <alignment horizontal="right" vertical="center" wrapText="1"/>
    </xf>
    <xf numFmtId="4" fontId="25" fillId="0" borderId="0" xfId="0" applyNumberFormat="1" applyFont="1" applyFill="1" applyAlignment="1">
      <alignment horizontal="right" vertical="center" wrapText="1"/>
    </xf>
    <xf numFmtId="1" fontId="25" fillId="0" borderId="0" xfId="0" applyNumberFormat="1" applyFont="1" applyFill="1" applyAlignment="1">
      <alignment horizontal="right"/>
    </xf>
    <xf numFmtId="4" fontId="24" fillId="0" borderId="0" xfId="0" applyNumberFormat="1" applyFont="1" applyFill="1" applyAlignment="1">
      <alignment horizontal="left" vertical="top"/>
    </xf>
    <xf numFmtId="4" fontId="26" fillId="0" borderId="11" xfId="0" applyNumberFormat="1" applyFont="1" applyFill="1" applyBorder="1"/>
    <xf numFmtId="4" fontId="24" fillId="0" borderId="11" xfId="0" applyNumberFormat="1" applyFont="1" applyFill="1" applyBorder="1"/>
    <xf numFmtId="4" fontId="26" fillId="0" borderId="11" xfId="0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center" vertical="center" wrapText="1"/>
    </xf>
    <xf numFmtId="4" fontId="27" fillId="0" borderId="0" xfId="0" applyNumberFormat="1" applyFont="1" applyFill="1"/>
    <xf numFmtId="4" fontId="25" fillId="0" borderId="0" xfId="0" applyNumberFormat="1" applyFont="1" applyFill="1" applyBorder="1" applyAlignment="1">
      <alignment horizontal="right" wrapText="1"/>
    </xf>
    <xf numFmtId="4" fontId="24" fillId="0" borderId="0" xfId="0" applyNumberFormat="1" applyFont="1" applyFill="1" applyBorder="1" applyAlignment="1">
      <alignment wrapText="1"/>
    </xf>
    <xf numFmtId="4" fontId="24" fillId="0" borderId="0" xfId="0" applyNumberFormat="1" applyFont="1" applyFill="1" applyAlignment="1">
      <alignment wrapText="1"/>
    </xf>
    <xf numFmtId="4" fontId="20" fillId="0" borderId="0" xfId="0" applyNumberFormat="1" applyFont="1" applyFill="1" applyAlignment="1" applyProtection="1">
      <alignment horizontal="right"/>
    </xf>
    <xf numFmtId="0" fontId="21" fillId="0" borderId="11" xfId="28" applyFont="1" applyFill="1" applyBorder="1" applyAlignment="1" applyProtection="1">
      <alignment horizontal="left" vertical="top" wrapText="1"/>
    </xf>
    <xf numFmtId="0" fontId="20" fillId="0" borderId="0" xfId="0" applyFont="1" applyFill="1" applyBorder="1" applyAlignment="1" applyProtection="1"/>
    <xf numFmtId="4" fontId="20" fillId="0" borderId="0" xfId="0" applyNumberFormat="1" applyFont="1" applyFill="1" applyBorder="1" applyAlignment="1" applyProtection="1"/>
    <xf numFmtId="0" fontId="21" fillId="0" borderId="0" xfId="0" applyFont="1" applyFill="1" applyBorder="1" applyAlignment="1" applyProtection="1">
      <alignment horizontal="center" vertical="top"/>
    </xf>
    <xf numFmtId="0" fontId="21" fillId="0" borderId="0" xfId="0" applyFont="1" applyFill="1" applyBorder="1" applyAlignment="1" applyProtection="1">
      <alignment vertical="top" wrapText="1"/>
    </xf>
    <xf numFmtId="0" fontId="20" fillId="0" borderId="0" xfId="0" applyFont="1" applyFill="1" applyBorder="1" applyAlignment="1" applyProtection="1">
      <alignment horizontal="center"/>
    </xf>
    <xf numFmtId="4" fontId="20" fillId="0" borderId="0" xfId="0" applyNumberFormat="1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horizontal="right" vertical="top"/>
    </xf>
    <xf numFmtId="49" fontId="21" fillId="0" borderId="0" xfId="0" applyNumberFormat="1" applyFont="1" applyFill="1" applyBorder="1" applyAlignment="1" applyProtection="1">
      <alignment horizontal="left" vertical="top"/>
    </xf>
    <xf numFmtId="0" fontId="21" fillId="0" borderId="0" xfId="0" applyFont="1" applyFill="1" applyBorder="1" applyAlignment="1" applyProtection="1">
      <alignment horizontal="center"/>
    </xf>
    <xf numFmtId="49" fontId="21" fillId="0" borderId="0" xfId="0" applyNumberFormat="1" applyFont="1" applyFill="1" applyBorder="1" applyAlignment="1" applyProtection="1">
      <alignment vertical="top" wrapText="1"/>
    </xf>
    <xf numFmtId="49" fontId="21" fillId="0" borderId="0" xfId="0" applyNumberFormat="1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vertical="top"/>
    </xf>
    <xf numFmtId="0" fontId="21" fillId="0" borderId="0" xfId="0" applyFont="1" applyFill="1" applyBorder="1" applyAlignment="1" applyProtection="1"/>
    <xf numFmtId="4" fontId="21" fillId="0" borderId="0" xfId="0" applyNumberFormat="1" applyFont="1" applyFill="1" applyBorder="1" applyAlignment="1" applyProtection="1"/>
    <xf numFmtId="0" fontId="21" fillId="0" borderId="10" xfId="0" applyFont="1" applyFill="1" applyBorder="1" applyAlignment="1" applyProtection="1">
      <alignment horizontal="center"/>
    </xf>
    <xf numFmtId="4" fontId="21" fillId="0" borderId="10" xfId="0" applyNumberFormat="1" applyFont="1" applyFill="1" applyBorder="1" applyAlignment="1" applyProtection="1">
      <alignment horizontal="right"/>
    </xf>
    <xf numFmtId="4" fontId="20" fillId="0" borderId="10" xfId="0" applyNumberFormat="1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vertical="top" wrapText="1"/>
    </xf>
    <xf numFmtId="4" fontId="21" fillId="0" borderId="11" xfId="0" applyNumberFormat="1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horizontal="right" vertical="top"/>
    </xf>
    <xf numFmtId="0" fontId="20" fillId="0" borderId="0" xfId="0" applyFont="1" applyFill="1" applyAlignment="1" applyProtection="1"/>
    <xf numFmtId="0" fontId="24" fillId="0" borderId="0" xfId="26" applyFont="1" applyFill="1" applyBorder="1" applyAlignment="1" applyProtection="1">
      <alignment horizontal="center"/>
    </xf>
    <xf numFmtId="0" fontId="24" fillId="0" borderId="0" xfId="26" applyFont="1" applyFill="1" applyBorder="1" applyAlignment="1" applyProtection="1">
      <alignment horizontal="justify" vertical="top" wrapText="1"/>
    </xf>
    <xf numFmtId="0" fontId="20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Border="1" applyAlignment="1" applyProtection="1">
      <alignment vertical="top"/>
    </xf>
    <xf numFmtId="0" fontId="24" fillId="0" borderId="0" xfId="30" applyFont="1" applyFill="1" applyBorder="1" applyAlignment="1" applyProtection="1">
      <alignment horizontal="justify" vertical="top" wrapText="1"/>
    </xf>
    <xf numFmtId="0" fontId="24" fillId="0" borderId="0" xfId="30" applyFont="1" applyFill="1" applyBorder="1" applyAlignment="1" applyProtection="1">
      <alignment horizontal="center"/>
    </xf>
    <xf numFmtId="0" fontId="24" fillId="0" borderId="0" xfId="28" applyFont="1" applyFill="1" applyBorder="1" applyAlignment="1" applyProtection="1">
      <alignment horizontal="justify" vertical="top" wrapText="1"/>
    </xf>
    <xf numFmtId="0" fontId="26" fillId="0" borderId="0" xfId="0" applyFont="1" applyAlignment="1"/>
    <xf numFmtId="165" fontId="24" fillId="0" borderId="0" xfId="0" applyNumberFormat="1" applyFont="1"/>
    <xf numFmtId="0" fontId="24" fillId="0" borderId="0" xfId="0" applyFont="1" applyAlignment="1" applyProtection="1">
      <alignment horizontal="justify" vertical="top" wrapText="1"/>
    </xf>
    <xf numFmtId="0" fontId="26" fillId="0" borderId="0" xfId="0" applyFont="1" applyAlignment="1">
      <alignment horizontal="center"/>
    </xf>
    <xf numFmtId="4" fontId="21" fillId="0" borderId="0" xfId="0" applyNumberFormat="1" applyFont="1" applyFill="1"/>
    <xf numFmtId="4" fontId="24" fillId="0" borderId="0" xfId="0" applyNumberFormat="1" applyFont="1" applyFill="1" applyAlignment="1">
      <alignment horizontal="center" vertical="center" wrapText="1"/>
    </xf>
    <xf numFmtId="0" fontId="20" fillId="0" borderId="0" xfId="26" applyFont="1" applyFill="1" applyBorder="1" applyAlignment="1" applyProtection="1">
      <alignment horizontal="center" vertical="center"/>
    </xf>
    <xf numFmtId="4" fontId="20" fillId="0" borderId="0" xfId="26" applyNumberFormat="1" applyFont="1" applyFill="1" applyBorder="1" applyAlignment="1" applyProtection="1">
      <alignment horizontal="right" vertical="center"/>
    </xf>
    <xf numFmtId="1" fontId="25" fillId="0" borderId="0" xfId="0" applyNumberFormat="1" applyFont="1" applyFill="1" applyBorder="1" applyAlignment="1">
      <alignment horizontal="right" vertical="center" wrapText="1"/>
    </xf>
    <xf numFmtId="4" fontId="24" fillId="0" borderId="0" xfId="0" applyNumberFormat="1" applyFont="1" applyAlignment="1">
      <alignment horizontal="right"/>
    </xf>
    <xf numFmtId="4" fontId="24" fillId="0" borderId="0" xfId="0" applyNumberFormat="1" applyFont="1" applyFill="1" applyBorder="1" applyAlignment="1">
      <alignment horizontal="right" wrapText="1"/>
    </xf>
    <xf numFmtId="4" fontId="20" fillId="0" borderId="10" xfId="0" applyNumberFormat="1" applyFont="1" applyFill="1" applyBorder="1" applyAlignment="1" applyProtection="1"/>
    <xf numFmtId="4" fontId="21" fillId="0" borderId="0" xfId="0" applyNumberFormat="1" applyFont="1" applyFill="1" applyBorder="1" applyAlignment="1" applyProtection="1">
      <alignment horizontal="right"/>
    </xf>
    <xf numFmtId="10" fontId="20" fillId="0" borderId="0" xfId="0" applyNumberFormat="1" applyFont="1" applyFill="1" applyBorder="1" applyAlignment="1" applyProtection="1">
      <alignment horizontal="right"/>
    </xf>
    <xf numFmtId="4" fontId="21" fillId="0" borderId="0" xfId="0" applyNumberFormat="1" applyFont="1" applyFill="1" applyBorder="1" applyAlignment="1" applyProtection="1">
      <alignment horizontal="left"/>
    </xf>
    <xf numFmtId="4" fontId="21" fillId="0" borderId="11" xfId="0" applyNumberFormat="1" applyFont="1" applyFill="1" applyBorder="1" applyAlignment="1" applyProtection="1">
      <alignment horizontal="left"/>
    </xf>
    <xf numFmtId="4" fontId="25" fillId="0" borderId="0" xfId="0" applyNumberFormat="1" applyFont="1" applyFill="1" applyAlignment="1">
      <alignment horizontal="left" vertical="top"/>
    </xf>
    <xf numFmtId="0" fontId="24" fillId="0" borderId="0" xfId="0" applyFont="1" applyBorder="1" applyAlignment="1">
      <alignment horizontal="center" vertical="center" wrapText="1"/>
    </xf>
    <xf numFmtId="4" fontId="25" fillId="0" borderId="14" xfId="0" applyNumberFormat="1" applyFont="1" applyFill="1" applyBorder="1" applyAlignment="1">
      <alignment wrapText="1"/>
    </xf>
    <xf numFmtId="4" fontId="20" fillId="0" borderId="0" xfId="0" applyNumberFormat="1" applyFont="1" applyFill="1" applyBorder="1" applyAlignment="1" applyProtection="1">
      <alignment horizontal="center" wrapText="1"/>
    </xf>
    <xf numFmtId="4" fontId="20" fillId="0" borderId="0" xfId="0" applyNumberFormat="1" applyFont="1" applyFill="1" applyBorder="1" applyAlignment="1" applyProtection="1">
      <alignment horizontal="center"/>
    </xf>
    <xf numFmtId="164" fontId="24" fillId="0" borderId="0" xfId="26" applyNumberFormat="1" applyFont="1" applyFill="1" applyBorder="1" applyAlignment="1" applyProtection="1">
      <protection locked="0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9" fontId="24" fillId="0" borderId="0" xfId="0" applyNumberFormat="1" applyFont="1" applyFill="1" applyAlignment="1" applyProtection="1">
      <alignment horizontal="justify" vertical="top" wrapText="1"/>
    </xf>
    <xf numFmtId="0" fontId="24" fillId="0" borderId="0" xfId="0" applyFont="1" applyFill="1" applyAlignment="1" applyProtection="1">
      <alignment horizontal="center"/>
    </xf>
    <xf numFmtId="4" fontId="20" fillId="0" borderId="0" xfId="0" applyNumberFormat="1" applyFont="1" applyFill="1" applyAlignment="1" applyProtection="1"/>
    <xf numFmtId="0" fontId="24" fillId="0" borderId="0" xfId="0" applyFont="1" applyFill="1" applyBorder="1" applyAlignment="1" applyProtection="1">
      <alignment horizontal="justify" vertical="top" wrapText="1"/>
    </xf>
    <xf numFmtId="4" fontId="24" fillId="0" borderId="0" xfId="0" applyNumberFormat="1" applyFont="1" applyAlignment="1" applyProtection="1"/>
    <xf numFmtId="4" fontId="24" fillId="0" borderId="0" xfId="0" applyNumberFormat="1" applyFont="1" applyAlignment="1" applyProtection="1">
      <alignment horizontal="right"/>
      <protection locked="0"/>
    </xf>
    <xf numFmtId="4" fontId="24" fillId="0" borderId="0" xfId="0" applyNumberFormat="1" applyFont="1" applyAlignment="1" applyProtection="1">
      <alignment horizontal="right"/>
    </xf>
    <xf numFmtId="4" fontId="20" fillId="0" borderId="0" xfId="26" applyNumberFormat="1" applyFont="1" applyFill="1" applyBorder="1" applyAlignment="1" applyProtection="1">
      <protection locked="0"/>
    </xf>
    <xf numFmtId="0" fontId="24" fillId="0" borderId="0" xfId="0" applyNumberFormat="1" applyFont="1" applyFill="1" applyBorder="1" applyAlignment="1" applyProtection="1">
      <alignment horizontal="justify" vertical="top" wrapText="1"/>
    </xf>
    <xf numFmtId="164" fontId="24" fillId="0" borderId="0" xfId="27" applyNumberFormat="1" applyFont="1" applyFill="1" applyBorder="1" applyAlignment="1" applyProtection="1"/>
    <xf numFmtId="164" fontId="24" fillId="0" borderId="0" xfId="27" applyNumberFormat="1" applyFont="1" applyFill="1" applyBorder="1" applyAlignment="1" applyProtection="1">
      <protection locked="0"/>
    </xf>
    <xf numFmtId="164" fontId="24" fillId="0" borderId="0" xfId="28" applyNumberFormat="1" applyFont="1" applyFill="1" applyBorder="1" applyAlignment="1" applyProtection="1">
      <alignment horizontal="right"/>
    </xf>
    <xf numFmtId="164" fontId="24" fillId="0" borderId="0" xfId="28" applyNumberFormat="1" applyFont="1" applyFill="1" applyBorder="1" applyAlignment="1" applyProtection="1">
      <alignment horizontal="right"/>
      <protection locked="0"/>
    </xf>
    <xf numFmtId="164" fontId="24" fillId="0" borderId="0" xfId="28" applyNumberFormat="1" applyFont="1" applyFill="1" applyBorder="1" applyAlignment="1" applyProtection="1">
      <protection locked="0"/>
    </xf>
    <xf numFmtId="4" fontId="24" fillId="0" borderId="0" xfId="30" applyNumberFormat="1" applyFont="1" applyFill="1" applyBorder="1" applyProtection="1"/>
    <xf numFmtId="4" fontId="24" fillId="0" borderId="0" xfId="30" applyNumberFormat="1" applyFont="1" applyFill="1" applyBorder="1" applyProtection="1">
      <protection locked="0"/>
    </xf>
    <xf numFmtId="4" fontId="24" fillId="0" borderId="0" xfId="47" applyNumberFormat="1" applyFont="1" applyBorder="1" applyAlignment="1" applyProtection="1">
      <alignment horizontal="right"/>
    </xf>
    <xf numFmtId="4" fontId="24" fillId="0" borderId="0" xfId="49" applyNumberFormat="1" applyFont="1" applyBorder="1" applyAlignment="1" applyProtection="1">
      <alignment horizontal="right"/>
    </xf>
    <xf numFmtId="4" fontId="25" fillId="0" borderId="15" xfId="0" applyNumberFormat="1" applyFont="1" applyFill="1" applyBorder="1" applyAlignment="1">
      <alignment horizontal="center" vertical="center" wrapText="1"/>
    </xf>
    <xf numFmtId="4" fontId="25" fillId="0" borderId="17" xfId="0" applyNumberFormat="1" applyFont="1" applyFill="1" applyBorder="1" applyAlignment="1">
      <alignment horizontal="center" vertical="center" wrapText="1"/>
    </xf>
    <xf numFmtId="4" fontId="25" fillId="0" borderId="16" xfId="0" applyNumberFormat="1" applyFont="1" applyFill="1" applyBorder="1" applyAlignment="1">
      <alignment horizontal="center" vertical="center" wrapText="1"/>
    </xf>
    <xf numFmtId="4" fontId="25" fillId="0" borderId="18" xfId="0" applyNumberFormat="1" applyFont="1" applyFill="1" applyBorder="1" applyAlignment="1">
      <alignment horizontal="center" vertical="center" wrapText="1"/>
    </xf>
    <xf numFmtId="4" fontId="25" fillId="0" borderId="11" xfId="0" applyNumberFormat="1" applyFont="1" applyFill="1" applyBorder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wrapText="1"/>
    </xf>
    <xf numFmtId="4" fontId="25" fillId="0" borderId="20" xfId="0" applyNumberFormat="1" applyFont="1" applyFill="1" applyBorder="1" applyAlignment="1">
      <alignment horizontal="center" vertical="center" wrapText="1"/>
    </xf>
    <xf numFmtId="4" fontId="25" fillId="0" borderId="21" xfId="0" applyNumberFormat="1" applyFont="1" applyFill="1" applyBorder="1" applyAlignment="1">
      <alignment horizontal="center" vertical="center" wrapText="1"/>
    </xf>
    <xf numFmtId="4" fontId="25" fillId="0" borderId="13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Fill="1" applyBorder="1"/>
    <xf numFmtId="4" fontId="25" fillId="0" borderId="13" xfId="0" applyNumberFormat="1" applyFont="1" applyFill="1" applyBorder="1" applyAlignment="1">
      <alignment horizontal="right" vertical="center"/>
    </xf>
    <xf numFmtId="4" fontId="25" fillId="0" borderId="0" xfId="0" applyNumberFormat="1" applyFont="1" applyFill="1" applyBorder="1" applyAlignment="1">
      <alignment horizontal="left" vertical="center" wrapText="1"/>
    </xf>
    <xf numFmtId="0" fontId="0" fillId="0" borderId="0" xfId="0" applyFont="1"/>
    <xf numFmtId="4" fontId="24" fillId="0" borderId="11" xfId="0" applyNumberFormat="1" applyFont="1" applyFill="1" applyBorder="1" applyAlignment="1">
      <alignment horizontal="right"/>
    </xf>
    <xf numFmtId="166" fontId="24" fillId="0" borderId="0" xfId="0" applyNumberFormat="1" applyFont="1" applyFill="1" applyAlignment="1">
      <alignment horizontal="right"/>
    </xf>
    <xf numFmtId="0" fontId="21" fillId="0" borderId="0" xfId="0" applyFont="1" applyFill="1" applyBorder="1" applyAlignment="1" applyProtection="1">
      <alignment horizontal="right" vertical="top"/>
    </xf>
    <xf numFmtId="0" fontId="21" fillId="0" borderId="10" xfId="0" applyNumberFormat="1" applyFont="1" applyFill="1" applyBorder="1" applyAlignment="1" applyProtection="1">
      <alignment horizontal="right" vertical="top"/>
    </xf>
    <xf numFmtId="0" fontId="21" fillId="0" borderId="10" xfId="0" applyNumberFormat="1" applyFont="1" applyFill="1" applyBorder="1" applyAlignment="1" applyProtection="1">
      <alignment horizontal="left" vertical="top"/>
    </xf>
    <xf numFmtId="0" fontId="20" fillId="0" borderId="0" xfId="26" applyFont="1" applyFill="1" applyBorder="1" applyAlignment="1" applyProtection="1">
      <alignment horizontal="justify" vertical="top" wrapText="1"/>
    </xf>
    <xf numFmtId="0" fontId="20" fillId="0" borderId="0" xfId="28" applyFont="1" applyFill="1" applyBorder="1" applyAlignment="1" applyProtection="1">
      <alignment horizontal="justify" vertical="top" wrapText="1"/>
    </xf>
    <xf numFmtId="0" fontId="0" fillId="0" borderId="0" xfId="0" applyFont="1" applyAlignment="1" applyProtection="1">
      <alignment horizontal="justify" vertical="top" wrapText="1"/>
    </xf>
    <xf numFmtId="0" fontId="24" fillId="0" borderId="0" xfId="0" applyFont="1" applyFill="1" applyAlignment="1" applyProtection="1">
      <alignment horizontal="justify" vertical="top" wrapText="1"/>
    </xf>
    <xf numFmtId="4" fontId="24" fillId="0" borderId="0" xfId="0" applyNumberFormat="1" applyFont="1" applyFill="1" applyBorder="1" applyAlignment="1" applyProtection="1">
      <alignment horizontal="justify" vertical="top" wrapText="1"/>
    </xf>
    <xf numFmtId="4" fontId="24" fillId="0" borderId="0" xfId="0" applyNumberFormat="1" applyFont="1" applyFill="1" applyAlignment="1" applyProtection="1">
      <alignment horizontal="right"/>
    </xf>
    <xf numFmtId="4" fontId="24" fillId="0" borderId="0" xfId="0" applyNumberFormat="1" applyFont="1" applyFill="1" applyProtection="1"/>
    <xf numFmtId="0" fontId="24" fillId="0" borderId="0" xfId="27" applyFont="1" applyFill="1" applyBorder="1" applyAlignment="1" applyProtection="1">
      <alignment horizontal="justify" vertical="top" wrapText="1"/>
    </xf>
    <xf numFmtId="4" fontId="24" fillId="0" borderId="0" xfId="0" applyNumberFormat="1" applyFont="1" applyProtection="1"/>
    <xf numFmtId="0" fontId="24" fillId="0" borderId="0" xfId="0" applyFont="1" applyBorder="1" applyAlignment="1" applyProtection="1">
      <alignment horizontal="center" wrapText="1"/>
    </xf>
    <xf numFmtId="0" fontId="24" fillId="0" borderId="0" xfId="0" applyFont="1" applyFill="1" applyBorder="1" applyAlignment="1" applyProtection="1">
      <alignment horizontal="left"/>
    </xf>
    <xf numFmtId="0" fontId="24" fillId="0" borderId="0" xfId="0" applyFont="1" applyFill="1" applyProtection="1"/>
    <xf numFmtId="0" fontId="24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wrapText="1"/>
    </xf>
    <xf numFmtId="0" fontId="24" fillId="0" borderId="0" xfId="0" quotePrefix="1" applyFont="1" applyFill="1" applyBorder="1" applyAlignment="1" applyProtection="1">
      <alignment horizontal="left" wrapText="1"/>
    </xf>
    <xf numFmtId="0" fontId="24" fillId="0" borderId="0" xfId="0" applyFont="1" applyFill="1" applyAlignment="1" applyProtection="1">
      <alignment wrapText="1"/>
    </xf>
    <xf numFmtId="4" fontId="24" fillId="0" borderId="0" xfId="0" applyNumberFormat="1" applyFont="1" applyFill="1" applyAlignment="1" applyProtection="1">
      <alignment horizontal="center"/>
    </xf>
    <xf numFmtId="0" fontId="1" fillId="0" borderId="0" xfId="0" applyFont="1" applyFill="1" applyProtection="1"/>
    <xf numFmtId="4" fontId="1" fillId="0" borderId="0" xfId="0" applyNumberFormat="1" applyFont="1" applyFill="1" applyProtection="1"/>
    <xf numFmtId="4" fontId="1" fillId="0" borderId="0" xfId="0" applyNumberFormat="1" applyFont="1" applyFill="1" applyAlignment="1" applyProtection="1">
      <alignment horizontal="right"/>
    </xf>
    <xf numFmtId="0" fontId="36" fillId="0" borderId="0" xfId="0" applyFont="1" applyFill="1" applyAlignment="1" applyProtection="1">
      <alignment wrapText="1"/>
    </xf>
    <xf numFmtId="0" fontId="35" fillId="0" borderId="0" xfId="35" applyFont="1" applyFill="1" applyProtection="1"/>
    <xf numFmtId="0" fontId="35" fillId="0" borderId="0" xfId="35" applyFont="1" applyFill="1" applyAlignment="1" applyProtection="1">
      <alignment horizontal="center"/>
    </xf>
    <xf numFmtId="4" fontId="35" fillId="0" borderId="0" xfId="35" applyNumberFormat="1" applyFont="1" applyFill="1" applyAlignment="1" applyProtection="1">
      <alignment horizontal="center"/>
    </xf>
    <xf numFmtId="4" fontId="35" fillId="0" borderId="0" xfId="35" applyNumberFormat="1" applyFont="1" applyFill="1" applyAlignment="1" applyProtection="1">
      <alignment horizontal="right"/>
    </xf>
    <xf numFmtId="0" fontId="24" fillId="0" borderId="0" xfId="0" quotePrefix="1" applyFont="1" applyFill="1" applyBorder="1" applyAlignment="1" applyProtection="1">
      <alignment horizontal="left"/>
    </xf>
    <xf numFmtId="0" fontId="24" fillId="0" borderId="0" xfId="0" quotePrefix="1" applyFont="1" applyFill="1" applyProtection="1"/>
    <xf numFmtId="0" fontId="24" fillId="0" borderId="0" xfId="0" quotePrefix="1" applyFont="1" applyFill="1" applyBorder="1" applyProtection="1"/>
    <xf numFmtId="0" fontId="24" fillId="0" borderId="0" xfId="0" applyFont="1" applyFill="1" applyBorder="1" applyAlignment="1" applyProtection="1">
      <alignment horizontal="center"/>
    </xf>
    <xf numFmtId="4" fontId="24" fillId="0" borderId="0" xfId="0" applyNumberFormat="1" applyFont="1" applyFill="1" applyBorder="1" applyAlignment="1" applyProtection="1">
      <alignment horizontal="center"/>
    </xf>
    <xf numFmtId="4" fontId="24" fillId="0" borderId="0" xfId="0" applyNumberFormat="1" applyFont="1" applyFill="1" applyBorder="1" applyAlignment="1" applyProtection="1">
      <alignment horizontal="right"/>
    </xf>
    <xf numFmtId="4" fontId="20" fillId="0" borderId="11" xfId="26" applyNumberFormat="1" applyFont="1" applyFill="1" applyBorder="1" applyAlignment="1" applyProtection="1">
      <alignment horizontal="right"/>
      <protection locked="0"/>
    </xf>
    <xf numFmtId="4" fontId="20" fillId="0" borderId="0" xfId="26" applyNumberFormat="1" applyFont="1" applyFill="1" applyBorder="1" applyAlignment="1" applyProtection="1">
      <alignment horizontal="right"/>
      <protection locked="0"/>
    </xf>
    <xf numFmtId="4" fontId="20" fillId="0" borderId="0" xfId="0" applyNumberFormat="1" applyFont="1" applyFill="1" applyAlignment="1" applyProtection="1">
      <alignment horizontal="right"/>
      <protection locked="0"/>
    </xf>
    <xf numFmtId="4" fontId="20" fillId="0" borderId="0" xfId="0" applyNumberFormat="1" applyFont="1" applyAlignment="1" applyProtection="1">
      <alignment horizontal="right"/>
      <protection locked="0"/>
    </xf>
    <xf numFmtId="4" fontId="20" fillId="0" borderId="0" xfId="26" applyNumberFormat="1" applyFont="1" applyFill="1" applyBorder="1" applyAlignment="1" applyProtection="1">
      <alignment horizontal="right" vertical="center"/>
      <protection locked="0"/>
    </xf>
    <xf numFmtId="4" fontId="24" fillId="0" borderId="0" xfId="0" applyNumberFormat="1" applyFont="1" applyFill="1" applyProtection="1">
      <protection locked="0"/>
    </xf>
    <xf numFmtId="0" fontId="20" fillId="0" borderId="0" xfId="0" applyFont="1" applyFill="1" applyBorder="1" applyAlignment="1" applyProtection="1">
      <protection locked="0"/>
    </xf>
    <xf numFmtId="4" fontId="20" fillId="0" borderId="0" xfId="30" applyNumberFormat="1" applyFont="1" applyFill="1" applyBorder="1" applyAlignment="1" applyProtection="1">
      <alignment horizontal="right"/>
      <protection locked="0"/>
    </xf>
    <xf numFmtId="4" fontId="20" fillId="0" borderId="0" xfId="30" applyNumberFormat="1" applyFont="1" applyFill="1" applyBorder="1" applyProtection="1">
      <protection locked="0"/>
    </xf>
    <xf numFmtId="4" fontId="20" fillId="0" borderId="11" xfId="30" applyNumberFormat="1" applyFont="1" applyFill="1" applyBorder="1" applyAlignment="1" applyProtection="1">
      <alignment horizontal="right"/>
      <protection locked="0"/>
    </xf>
    <xf numFmtId="4" fontId="20" fillId="0" borderId="11" xfId="27" applyNumberFormat="1" applyFont="1" applyFill="1" applyBorder="1" applyAlignment="1" applyProtection="1">
      <alignment horizontal="right"/>
      <protection locked="0"/>
    </xf>
    <xf numFmtId="4" fontId="20" fillId="0" borderId="0" xfId="28" applyNumberFormat="1" applyFont="1" applyFill="1" applyBorder="1" applyAlignment="1" applyProtection="1">
      <alignment horizontal="right"/>
      <protection locked="0"/>
    </xf>
    <xf numFmtId="4" fontId="21" fillId="0" borderId="0" xfId="26" applyNumberFormat="1" applyFont="1" applyFill="1" applyBorder="1" applyAlignment="1" applyProtection="1">
      <alignment horizontal="right" vertical="center"/>
      <protection locked="0"/>
    </xf>
    <xf numFmtId="4" fontId="20" fillId="0" borderId="11" xfId="28" applyNumberFormat="1" applyFont="1" applyFill="1" applyBorder="1" applyAlignment="1" applyProtection="1">
      <alignment horizontal="right"/>
      <protection locked="0"/>
    </xf>
    <xf numFmtId="164" fontId="24" fillId="0" borderId="0" xfId="30" applyNumberFormat="1" applyFont="1" applyFill="1" applyBorder="1" applyProtection="1">
      <protection locked="0"/>
    </xf>
    <xf numFmtId="4" fontId="24" fillId="0" borderId="0" xfId="0" applyNumberFormat="1" applyFont="1" applyProtection="1">
      <protection locked="0"/>
    </xf>
    <xf numFmtId="4" fontId="24" fillId="0" borderId="0" xfId="48" applyNumberFormat="1" applyFont="1" applyFill="1" applyBorder="1" applyAlignment="1" applyProtection="1">
      <alignment horizontal="right"/>
      <protection locked="0"/>
    </xf>
    <xf numFmtId="0" fontId="24" fillId="0" borderId="0" xfId="0" applyFont="1" applyFill="1" applyProtection="1">
      <protection locked="0"/>
    </xf>
    <xf numFmtId="4" fontId="1" fillId="0" borderId="0" xfId="0" applyNumberFormat="1" applyFont="1" applyFill="1" applyProtection="1">
      <protection locked="0"/>
    </xf>
    <xf numFmtId="4" fontId="35" fillId="0" borderId="0" xfId="35" applyNumberFormat="1" applyFont="1" applyFill="1" applyAlignment="1" applyProtection="1">
      <alignment horizontal="center"/>
      <protection locked="0"/>
    </xf>
    <xf numFmtId="4" fontId="24" fillId="0" borderId="0" xfId="0" applyNumberFormat="1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left" vertical="top"/>
    </xf>
    <xf numFmtId="0" fontId="21" fillId="0" borderId="0" xfId="0" applyFont="1" applyFill="1" applyAlignment="1" applyProtection="1">
      <alignment horizontal="left"/>
    </xf>
    <xf numFmtId="0" fontId="20" fillId="0" borderId="0" xfId="26" applyFont="1" applyFill="1" applyBorder="1" applyAlignment="1" applyProtection="1">
      <alignment horizontal="justify" vertical="top" wrapText="1"/>
    </xf>
    <xf numFmtId="0" fontId="0" fillId="0" borderId="0" xfId="0" applyFont="1" applyFill="1" applyAlignment="1" applyProtection="1"/>
    <xf numFmtId="0" fontId="20" fillId="0" borderId="0" xfId="28" applyFont="1" applyFill="1" applyBorder="1" applyAlignment="1" applyProtection="1">
      <alignment horizontal="justify" vertical="top" wrapText="1"/>
    </xf>
    <xf numFmtId="0" fontId="0" fillId="0" borderId="0" xfId="0" applyFont="1" applyAlignment="1" applyProtection="1">
      <alignment horizontal="justify" vertical="top" wrapText="1"/>
    </xf>
    <xf numFmtId="4" fontId="20" fillId="0" borderId="0" xfId="29" applyNumberFormat="1" applyFont="1" applyFill="1" applyBorder="1" applyAlignment="1" applyProtection="1">
      <alignment horizontal="justify" vertical="top" wrapText="1"/>
    </xf>
    <xf numFmtId="4" fontId="25" fillId="30" borderId="12" xfId="0" applyNumberFormat="1" applyFont="1" applyFill="1" applyBorder="1" applyAlignment="1">
      <alignment horizontal="center" wrapText="1"/>
    </xf>
    <xf numFmtId="0" fontId="24" fillId="30" borderId="11" xfId="0" applyFont="1" applyFill="1" applyBorder="1" applyAlignment="1">
      <alignment horizontal="center" wrapText="1"/>
    </xf>
    <xf numFmtId="0" fontId="24" fillId="30" borderId="13" xfId="0" applyFont="1" applyFill="1" applyBorder="1" applyAlignment="1">
      <alignment horizontal="center" wrapText="1"/>
    </xf>
    <xf numFmtId="4" fontId="25" fillId="25" borderId="12" xfId="0" applyNumberFormat="1" applyFont="1" applyFill="1" applyBorder="1" applyAlignment="1">
      <alignment horizontal="center" vertical="center" wrapText="1"/>
    </xf>
    <xf numFmtId="4" fontId="25" fillId="25" borderId="13" xfId="0" applyNumberFormat="1" applyFont="1" applyFill="1" applyBorder="1" applyAlignment="1">
      <alignment horizontal="center" vertical="center" wrapText="1"/>
    </xf>
    <xf numFmtId="4" fontId="25" fillId="29" borderId="12" xfId="0" applyNumberFormat="1" applyFont="1" applyFill="1" applyBorder="1" applyAlignment="1">
      <alignment horizontal="center" wrapText="1"/>
    </xf>
    <xf numFmtId="0" fontId="24" fillId="29" borderId="11" xfId="0" applyFont="1" applyFill="1" applyBorder="1" applyAlignment="1">
      <alignment horizontal="center" wrapText="1"/>
    </xf>
    <xf numFmtId="0" fontId="24" fillId="29" borderId="13" xfId="0" applyFont="1" applyFill="1" applyBorder="1" applyAlignment="1">
      <alignment horizontal="center" wrapText="1"/>
    </xf>
    <xf numFmtId="4" fontId="25" fillId="0" borderId="14" xfId="0" applyNumberFormat="1" applyFont="1" applyFill="1" applyBorder="1" applyAlignment="1">
      <alignment vertical="center" wrapText="1"/>
    </xf>
    <xf numFmtId="4" fontId="24" fillId="0" borderId="14" xfId="0" applyNumberFormat="1" applyFont="1" applyFill="1" applyBorder="1" applyAlignment="1">
      <alignment vertical="center" wrapText="1"/>
    </xf>
    <xf numFmtId="4" fontId="25" fillId="26" borderId="12" xfId="0" applyNumberFormat="1" applyFont="1" applyFill="1" applyBorder="1" applyAlignment="1">
      <alignment horizontal="center" vertical="center" wrapText="1"/>
    </xf>
    <xf numFmtId="0" fontId="25" fillId="26" borderId="11" xfId="0" applyFont="1" applyFill="1" applyBorder="1" applyAlignment="1">
      <alignment horizontal="center" vertical="center" wrapText="1"/>
    </xf>
    <xf numFmtId="0" fontId="25" fillId="26" borderId="13" xfId="0" applyFont="1" applyFill="1" applyBorder="1" applyAlignment="1">
      <alignment horizontal="center" vertical="center" wrapText="1"/>
    </xf>
    <xf numFmtId="4" fontId="25" fillId="26" borderId="11" xfId="0" applyNumberFormat="1" applyFont="1" applyFill="1" applyBorder="1" applyAlignment="1">
      <alignment horizontal="center" vertical="center" wrapText="1"/>
    </xf>
    <xf numFmtId="4" fontId="25" fillId="26" borderId="13" xfId="0" applyNumberFormat="1" applyFont="1" applyFill="1" applyBorder="1" applyAlignment="1">
      <alignment horizontal="center" vertical="center" wrapText="1"/>
    </xf>
    <xf numFmtId="4" fontId="25" fillId="28" borderId="12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wrapText="1"/>
    </xf>
    <xf numFmtId="0" fontId="0" fillId="0" borderId="13" xfId="0" applyFont="1" applyBorder="1" applyAlignment="1">
      <alignment wrapText="1"/>
    </xf>
    <xf numFmtId="4" fontId="25" fillId="31" borderId="12" xfId="0" applyNumberFormat="1" applyFont="1" applyFill="1" applyBorder="1" applyAlignment="1">
      <alignment horizontal="center" vertical="center" wrapText="1"/>
    </xf>
    <xf numFmtId="0" fontId="24" fillId="31" borderId="11" xfId="0" applyFont="1" applyFill="1" applyBorder="1" applyAlignment="1">
      <alignment horizontal="center" vertical="center" wrapText="1"/>
    </xf>
    <xf numFmtId="0" fontId="24" fillId="31" borderId="13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25" fillId="27" borderId="12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1" fillId="0" borderId="0" xfId="26" applyFont="1" applyFill="1" applyBorder="1" applyAlignment="1" applyProtection="1">
      <alignment horizontal="center"/>
    </xf>
    <xf numFmtId="4" fontId="21" fillId="0" borderId="0" xfId="26" applyNumberFormat="1" applyFont="1" applyFill="1" applyBorder="1" applyAlignment="1" applyProtection="1">
      <alignment horizontal="center"/>
    </xf>
    <xf numFmtId="4" fontId="21" fillId="0" borderId="0" xfId="0" applyNumberFormat="1" applyFont="1" applyFill="1" applyBorder="1" applyAlignment="1" applyProtection="1">
      <alignment horizontal="center"/>
    </xf>
    <xf numFmtId="4" fontId="21" fillId="0" borderId="0" xfId="0" applyNumberFormat="1" applyFont="1" applyFill="1" applyBorder="1" applyAlignment="1" applyProtection="1">
      <alignment horizontal="center" wrapText="1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5" builtinId="29" customBuiltin="1"/>
    <cellStyle name="Accent2" xfId="36" builtinId="33" customBuiltin="1"/>
    <cellStyle name="Accent3" xfId="37" builtinId="37" customBuiltin="1"/>
    <cellStyle name="Accent4" xfId="38" builtinId="41" customBuiltin="1"/>
    <cellStyle name="Accent5" xfId="39" builtinId="45" customBuiltin="1"/>
    <cellStyle name="Accent6" xfId="40" builtinId="49" customBuiltin="1"/>
    <cellStyle name="Bad" xfId="44" builtinId="27" customBuiltin="1"/>
    <cellStyle name="Calculation" xfId="43" builtinId="22" customBuiltin="1"/>
    <cellStyle name="Check Cell" xfId="42" builtinId="23" customBuiltin="1"/>
    <cellStyle name="Explanatory Text" xfId="34" builtinId="53" customBuiltin="1"/>
    <cellStyle name="Good" xfId="19" builtinId="26" customBuiltin="1"/>
    <cellStyle name="Heading 1" xfId="22" builtinId="16" customBuiltin="1"/>
    <cellStyle name="Heading 2" xfId="23" builtinId="17" customBuiltin="1"/>
    <cellStyle name="Heading 3" xfId="24" builtinId="18" customBuiltin="1"/>
    <cellStyle name="Heading 4" xfId="25" builtinId="19" customBuiltin="1"/>
    <cellStyle name="Input" xfId="45" builtinId="20" customBuiltin="1"/>
    <cellStyle name="Linked Cell" xfId="41" builtinId="24" customBuiltin="1"/>
    <cellStyle name="Navadno_FORMULA" xfId="49"/>
    <cellStyle name="Navadno_GRADBENO-OBRT.DELA" xfId="26"/>
    <cellStyle name="Navadno_KERAMIČARSKA DELA" xfId="27"/>
    <cellStyle name="Navadno_List1" xfId="47"/>
    <cellStyle name="Navadno_SLIKOPLESKARSKA DELA" xfId="28"/>
    <cellStyle name="Navadno_TLAKARSKA DELA" xfId="29"/>
    <cellStyle name="Navadno_VRATA IN OKNA" xfId="30"/>
    <cellStyle name="Neutral" xfId="31" builtinId="28" customBuiltin="1"/>
    <cellStyle name="Normal" xfId="0" builtinId="0"/>
    <cellStyle name="normal 2" xfId="48"/>
    <cellStyle name="Note" xfId="32" builtinId="10" customBuiltin="1"/>
    <cellStyle name="Output" xfId="20" builtinId="21" customBuiltin="1"/>
    <cellStyle name="Title" xfId="21" builtinId="15" customBuiltin="1"/>
    <cellStyle name="Total" xfId="46" builtinId="25" customBuiltin="1"/>
    <cellStyle name="Warning Text" xfId="33" builtinId="11" customBuiltin="1"/>
  </cellStyles>
  <dxfs count="0"/>
  <tableStyles count="0" defaultTableStyle="TableStyleMedium9" defaultPivotStyle="PivotStyleLight16"/>
  <colors>
    <mruColors>
      <color rgb="FF9999FF"/>
      <color rgb="FFFFFF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297"/>
  <sheetViews>
    <sheetView showZeros="0" tabSelected="1" zoomScaleNormal="100" workbookViewId="0">
      <selection activeCell="I29" sqref="I29"/>
    </sheetView>
  </sheetViews>
  <sheetFormatPr defaultColWidth="6" defaultRowHeight="14.5" x14ac:dyDescent="0.35"/>
  <cols>
    <col min="1" max="1" width="4" style="124" customWidth="1"/>
    <col min="2" max="2" width="58" style="122" customWidth="1"/>
    <col min="3" max="3" width="6.54296875" style="109" bestFit="1" customWidth="1"/>
    <col min="4" max="4" width="9.453125" style="110" customWidth="1"/>
    <col min="5" max="5" width="8.54296875" style="110" customWidth="1"/>
    <col min="6" max="6" width="16.81640625" style="110" bestFit="1" customWidth="1"/>
    <col min="7" max="7" width="19.453125" style="106" customWidth="1"/>
    <col min="8" max="8" width="15.54296875" style="106" customWidth="1"/>
    <col min="9" max="9" width="9.1796875" style="106" customWidth="1"/>
    <col min="10" max="10" width="6.54296875" style="106" bestFit="1" customWidth="1"/>
    <col min="11" max="12" width="9.1796875" style="106" customWidth="1"/>
    <col min="13" max="252" width="9.1796875" style="105" customWidth="1"/>
    <col min="253" max="253" width="3.26953125" style="105" customWidth="1"/>
    <col min="254" max="254" width="0.1796875" style="105" customWidth="1"/>
    <col min="255" max="255" width="37.54296875" style="105" customWidth="1"/>
    <col min="256" max="16384" width="6" style="105"/>
  </cols>
  <sheetData>
    <row r="1" spans="1:12" x14ac:dyDescent="0.35">
      <c r="A1" s="244" t="s">
        <v>1</v>
      </c>
      <c r="B1" s="245"/>
      <c r="C1" s="245"/>
      <c r="D1" s="245"/>
      <c r="E1" s="245"/>
      <c r="F1" s="245"/>
    </row>
    <row r="2" spans="1:12" x14ac:dyDescent="0.35">
      <c r="A2" s="244" t="s">
        <v>85</v>
      </c>
      <c r="B2" s="245"/>
      <c r="C2" s="245"/>
      <c r="D2" s="245"/>
      <c r="E2" s="245"/>
      <c r="F2" s="245"/>
    </row>
    <row r="3" spans="1:12" x14ac:dyDescent="0.35">
      <c r="A3" s="244" t="s">
        <v>160</v>
      </c>
      <c r="B3" s="245"/>
      <c r="C3" s="245"/>
      <c r="D3" s="245"/>
      <c r="E3" s="245"/>
      <c r="F3" s="245"/>
    </row>
    <row r="5" spans="1:12" x14ac:dyDescent="0.35">
      <c r="A5" s="107" t="s">
        <v>27</v>
      </c>
      <c r="B5" s="108" t="s">
        <v>161</v>
      </c>
      <c r="F5" s="152" t="s">
        <v>154</v>
      </c>
      <c r="G5" s="152" t="s">
        <v>155</v>
      </c>
      <c r="H5" s="153" t="s">
        <v>50</v>
      </c>
    </row>
    <row r="7" spans="1:12" x14ac:dyDescent="0.35">
      <c r="A7" s="111" t="str">
        <f>A27</f>
        <v>I.</v>
      </c>
      <c r="B7" s="112" t="str">
        <f>B27</f>
        <v>RUŠITVENA IN ODSTRANITVENA DELA</v>
      </c>
      <c r="C7" s="113"/>
      <c r="F7" s="110">
        <f>F68</f>
        <v>0</v>
      </c>
      <c r="G7" s="110">
        <f>G68</f>
        <v>0</v>
      </c>
      <c r="H7" s="106">
        <f>F7+G7</f>
        <v>0</v>
      </c>
    </row>
    <row r="8" spans="1:12" x14ac:dyDescent="0.35">
      <c r="A8" s="111" t="str">
        <f>A70</f>
        <v>II.</v>
      </c>
      <c r="B8" s="112" t="str">
        <f>B70</f>
        <v>ZEMELJSKA DELA</v>
      </c>
      <c r="C8" s="113"/>
      <c r="F8" s="110">
        <f>F82</f>
        <v>0</v>
      </c>
      <c r="G8" s="110">
        <f>G82</f>
        <v>0</v>
      </c>
      <c r="H8" s="106">
        <f t="shared" ref="H8:H17" si="0">F8+G8</f>
        <v>0</v>
      </c>
    </row>
    <row r="9" spans="1:12" x14ac:dyDescent="0.35">
      <c r="A9" s="111" t="str">
        <f>A84</f>
        <v>III.</v>
      </c>
      <c r="B9" s="108" t="str">
        <f>B84</f>
        <v>ZIDARSKA DELA</v>
      </c>
      <c r="C9" s="113"/>
      <c r="F9" s="110">
        <f>F121</f>
        <v>0</v>
      </c>
      <c r="G9" s="110">
        <f>G121</f>
        <v>0</v>
      </c>
      <c r="H9" s="106">
        <f t="shared" si="0"/>
        <v>0</v>
      </c>
    </row>
    <row r="10" spans="1:12" x14ac:dyDescent="0.35">
      <c r="A10" s="111" t="str">
        <f>A128</f>
        <v>IV.</v>
      </c>
      <c r="B10" s="114" t="str">
        <f>B128</f>
        <v>TESARSKA DELA</v>
      </c>
      <c r="C10" s="113"/>
      <c r="F10" s="110">
        <f>F134</f>
        <v>0</v>
      </c>
      <c r="G10" s="110">
        <f>G134</f>
        <v>0</v>
      </c>
      <c r="H10" s="106">
        <f t="shared" si="0"/>
        <v>0</v>
      </c>
    </row>
    <row r="11" spans="1:12" x14ac:dyDescent="0.35">
      <c r="A11" s="111" t="str">
        <f>A136</f>
        <v>V.</v>
      </c>
      <c r="B11" s="114" t="str">
        <f>B136</f>
        <v>FASADERSKA DELA</v>
      </c>
      <c r="C11" s="113"/>
      <c r="F11" s="110">
        <f>F153</f>
        <v>0</v>
      </c>
      <c r="G11" s="110">
        <f>G153</f>
        <v>0</v>
      </c>
      <c r="H11" s="106">
        <f t="shared" si="0"/>
        <v>0</v>
      </c>
    </row>
    <row r="12" spans="1:12" x14ac:dyDescent="0.35">
      <c r="A12" s="111" t="str">
        <f>A155</f>
        <v>VI.</v>
      </c>
      <c r="B12" s="112" t="str">
        <f>B155</f>
        <v>KLEPARSKA DELA</v>
      </c>
      <c r="C12" s="113"/>
      <c r="F12" s="110">
        <f>F159</f>
        <v>0</v>
      </c>
      <c r="G12" s="110">
        <f>G159</f>
        <v>0</v>
      </c>
      <c r="H12" s="106">
        <f t="shared" si="0"/>
        <v>0</v>
      </c>
    </row>
    <row r="13" spans="1:12" x14ac:dyDescent="0.35">
      <c r="A13" s="111" t="str">
        <f>A161</f>
        <v>VII.</v>
      </c>
      <c r="B13" s="112" t="str">
        <f>B161</f>
        <v>KERAMIČARSKA DELA</v>
      </c>
      <c r="C13" s="113"/>
      <c r="F13" s="110">
        <f>F175</f>
        <v>0</v>
      </c>
      <c r="G13" s="110">
        <f>G175</f>
        <v>0</v>
      </c>
      <c r="H13" s="106">
        <f t="shared" si="0"/>
        <v>0</v>
      </c>
    </row>
    <row r="14" spans="1:12" x14ac:dyDescent="0.35">
      <c r="A14" s="111" t="str">
        <f>A180</f>
        <v>VIII.</v>
      </c>
      <c r="B14" s="112" t="str">
        <f>B180</f>
        <v>SLIKOPLESKARSKA DELA</v>
      </c>
      <c r="C14" s="113"/>
      <c r="F14" s="110">
        <f>F192</f>
        <v>0</v>
      </c>
      <c r="G14" s="110">
        <f>G192</f>
        <v>0</v>
      </c>
      <c r="H14" s="106">
        <f t="shared" si="0"/>
        <v>0</v>
      </c>
    </row>
    <row r="15" spans="1:12" s="117" customFormat="1" x14ac:dyDescent="0.35">
      <c r="A15" s="115" t="str">
        <f>A194</f>
        <v>IX.</v>
      </c>
      <c r="B15" s="116" t="str">
        <f>B194</f>
        <v>STAVBNO POHIŠTVO</v>
      </c>
      <c r="F15" s="106">
        <f>F215</f>
        <v>0</v>
      </c>
      <c r="G15" s="106">
        <f>G215</f>
        <v>0</v>
      </c>
      <c r="H15" s="106">
        <f t="shared" si="0"/>
        <v>0</v>
      </c>
      <c r="I15" s="118"/>
      <c r="J15" s="118"/>
      <c r="K15" s="118"/>
      <c r="L15" s="118"/>
    </row>
    <row r="16" spans="1:12" x14ac:dyDescent="0.35">
      <c r="A16" s="111" t="str">
        <f>A217</f>
        <v>X.</v>
      </c>
      <c r="B16" s="112" t="str">
        <f>B217</f>
        <v>RAZNA DELA</v>
      </c>
      <c r="C16" s="113"/>
      <c r="D16" s="145"/>
      <c r="E16" s="145"/>
      <c r="F16" s="110">
        <f>F243</f>
        <v>0</v>
      </c>
      <c r="G16" s="110">
        <f>G243</f>
        <v>0</v>
      </c>
      <c r="H16" s="106">
        <f t="shared" si="0"/>
        <v>0</v>
      </c>
    </row>
    <row r="17" spans="1:8" x14ac:dyDescent="0.35">
      <c r="A17" s="190" t="str">
        <f>A245</f>
        <v xml:space="preserve">XI. </v>
      </c>
      <c r="B17" s="191" t="str">
        <f>B245</f>
        <v>PREZRAČEVANJE</v>
      </c>
      <c r="C17" s="119"/>
      <c r="D17" s="120"/>
      <c r="E17" s="120"/>
      <c r="F17" s="121">
        <f>F297</f>
        <v>0</v>
      </c>
      <c r="G17" s="121">
        <f>G297</f>
        <v>0</v>
      </c>
      <c r="H17" s="144">
        <f t="shared" si="0"/>
        <v>0</v>
      </c>
    </row>
    <row r="19" spans="1:8" x14ac:dyDescent="0.35">
      <c r="A19" s="54"/>
      <c r="D19" s="110" t="s">
        <v>2</v>
      </c>
      <c r="F19" s="110">
        <f>SUM(F7:F18)</f>
        <v>0</v>
      </c>
      <c r="G19" s="110">
        <f>SUM(G7:G18)</f>
        <v>0</v>
      </c>
      <c r="H19" s="110">
        <f>SUM(H7:H18)</f>
        <v>0</v>
      </c>
    </row>
    <row r="20" spans="1:8" x14ac:dyDescent="0.35">
      <c r="A20" s="54"/>
      <c r="D20" s="110" t="s">
        <v>200</v>
      </c>
      <c r="E20" s="146">
        <v>9.5000000000000001E-2</v>
      </c>
      <c r="F20" s="110">
        <f>F19*$E$20</f>
        <v>0</v>
      </c>
      <c r="G20" s="110">
        <f>G19*$E$20</f>
        <v>0</v>
      </c>
      <c r="H20" s="110">
        <f>H19*$E$20</f>
        <v>0</v>
      </c>
    </row>
    <row r="21" spans="1:8" x14ac:dyDescent="0.35">
      <c r="A21" s="54"/>
      <c r="D21" s="145"/>
      <c r="E21" s="145"/>
      <c r="F21" s="145"/>
      <c r="G21" s="145"/>
      <c r="H21" s="145"/>
    </row>
    <row r="22" spans="1:8" x14ac:dyDescent="0.35">
      <c r="A22" s="54"/>
      <c r="D22" s="148" t="s">
        <v>201</v>
      </c>
      <c r="E22" s="123"/>
      <c r="F22" s="123">
        <f>SUM(F19:F21)</f>
        <v>0</v>
      </c>
      <c r="G22" s="123">
        <f>SUM(G19:G21)</f>
        <v>0</v>
      </c>
      <c r="H22" s="123">
        <f>SUM(H19:H21)</f>
        <v>0</v>
      </c>
    </row>
    <row r="23" spans="1:8" x14ac:dyDescent="0.35">
      <c r="A23" s="54"/>
      <c r="D23" s="147"/>
      <c r="E23" s="145"/>
      <c r="F23" s="145"/>
      <c r="G23" s="145"/>
      <c r="H23" s="145"/>
    </row>
    <row r="24" spans="1:8" x14ac:dyDescent="0.35">
      <c r="B24" s="3" t="s">
        <v>3</v>
      </c>
      <c r="C24" s="6"/>
      <c r="D24" s="1"/>
      <c r="E24" s="1"/>
    </row>
    <row r="25" spans="1:8" ht="185.25" customHeight="1" x14ac:dyDescent="0.35">
      <c r="B25" s="246" t="s">
        <v>39</v>
      </c>
      <c r="C25" s="247"/>
      <c r="D25" s="247"/>
      <c r="E25" s="247"/>
      <c r="F25" s="247"/>
    </row>
    <row r="26" spans="1:8" x14ac:dyDescent="0.35">
      <c r="B26" s="192"/>
      <c r="C26" s="125"/>
      <c r="D26" s="125"/>
      <c r="E26" s="125"/>
      <c r="F26" s="125"/>
    </row>
    <row r="27" spans="1:8" x14ac:dyDescent="0.35">
      <c r="A27" s="2" t="s">
        <v>0</v>
      </c>
      <c r="B27" s="3" t="s">
        <v>29</v>
      </c>
      <c r="C27" s="6"/>
      <c r="D27" s="1"/>
      <c r="E27" s="1"/>
      <c r="F27" s="280" t="s">
        <v>154</v>
      </c>
      <c r="G27" s="280" t="s">
        <v>155</v>
      </c>
    </row>
    <row r="28" spans="1:8" x14ac:dyDescent="0.35">
      <c r="A28" s="2"/>
      <c r="B28" s="3"/>
      <c r="C28" s="277" t="s">
        <v>291</v>
      </c>
      <c r="D28" s="79" t="s">
        <v>292</v>
      </c>
      <c r="E28" s="278" t="s">
        <v>293</v>
      </c>
      <c r="F28" s="279" t="s">
        <v>294</v>
      </c>
      <c r="G28" s="279" t="s">
        <v>294</v>
      </c>
    </row>
    <row r="29" spans="1:8" ht="87" x14ac:dyDescent="0.35">
      <c r="A29" s="54"/>
      <c r="B29" s="135" t="s">
        <v>86</v>
      </c>
      <c r="C29" s="126"/>
      <c r="D29" s="32"/>
      <c r="E29" s="32"/>
      <c r="F29" s="32"/>
    </row>
    <row r="30" spans="1:8" x14ac:dyDescent="0.35">
      <c r="A30" s="54"/>
      <c r="B30" s="135"/>
      <c r="C30" s="126"/>
      <c r="D30" s="32"/>
      <c r="E30" s="32"/>
      <c r="F30" s="32"/>
    </row>
    <row r="31" spans="1:8" ht="43.5" x14ac:dyDescent="0.35">
      <c r="A31" s="54" t="s">
        <v>4</v>
      </c>
      <c r="B31" s="127" t="s">
        <v>195</v>
      </c>
      <c r="C31" s="126"/>
      <c r="D31" s="32"/>
      <c r="E31" s="32"/>
      <c r="F31" s="32"/>
    </row>
    <row r="32" spans="1:8" x14ac:dyDescent="0.35">
      <c r="A32" s="54"/>
      <c r="B32" s="127" t="s">
        <v>95</v>
      </c>
      <c r="C32" s="126" t="s">
        <v>8</v>
      </c>
      <c r="D32" s="32">
        <f>'Izračuni_pred izmere'!J219</f>
        <v>2</v>
      </c>
      <c r="E32" s="163"/>
      <c r="F32" s="32">
        <f>D32*E32</f>
        <v>0</v>
      </c>
    </row>
    <row r="33" spans="1:7" x14ac:dyDescent="0.35">
      <c r="A33" s="54"/>
      <c r="B33" s="127"/>
      <c r="C33" s="126"/>
      <c r="D33" s="32"/>
      <c r="E33" s="163"/>
      <c r="F33" s="32"/>
    </row>
    <row r="34" spans="1:7" x14ac:dyDescent="0.35">
      <c r="A34" s="54" t="s">
        <v>31</v>
      </c>
      <c r="B34" s="127" t="s">
        <v>96</v>
      </c>
      <c r="C34" s="126" t="s">
        <v>8</v>
      </c>
      <c r="D34" s="32">
        <v>1</v>
      </c>
      <c r="E34" s="163"/>
      <c r="F34" s="32">
        <f>D34*E34</f>
        <v>0</v>
      </c>
    </row>
    <row r="35" spans="1:7" x14ac:dyDescent="0.35">
      <c r="A35" s="54"/>
      <c r="B35" s="127"/>
      <c r="C35" s="126"/>
      <c r="D35" s="32"/>
      <c r="E35" s="163"/>
      <c r="F35" s="32"/>
    </row>
    <row r="36" spans="1:7" ht="72.5" x14ac:dyDescent="0.35">
      <c r="A36" s="54" t="s">
        <v>33</v>
      </c>
      <c r="B36" s="127" t="s">
        <v>40</v>
      </c>
      <c r="C36" s="126" t="s">
        <v>205</v>
      </c>
      <c r="D36" s="47">
        <f>'Izračuni_pred izmere'!K219</f>
        <v>11.62</v>
      </c>
      <c r="E36" s="154"/>
      <c r="F36" s="47">
        <f>D36*E36</f>
        <v>0</v>
      </c>
    </row>
    <row r="37" spans="1:7" x14ac:dyDescent="0.35">
      <c r="A37" s="54"/>
      <c r="B37" s="127"/>
      <c r="C37" s="126"/>
      <c r="D37" s="47"/>
      <c r="E37" s="154"/>
      <c r="F37" s="47"/>
    </row>
    <row r="38" spans="1:7" ht="58" x14ac:dyDescent="0.35">
      <c r="A38" s="54" t="s">
        <v>71</v>
      </c>
      <c r="B38" s="127" t="s">
        <v>132</v>
      </c>
      <c r="C38" s="126"/>
      <c r="D38" s="47"/>
      <c r="E38" s="154"/>
      <c r="F38" s="47"/>
    </row>
    <row r="39" spans="1:7" ht="16.5" x14ac:dyDescent="0.35">
      <c r="A39" s="54"/>
      <c r="B39" s="127" t="s">
        <v>206</v>
      </c>
      <c r="C39" s="126" t="s">
        <v>8</v>
      </c>
      <c r="D39" s="47">
        <f>'Izračuni_pred izmere'!L219</f>
        <v>7</v>
      </c>
      <c r="E39" s="154"/>
      <c r="F39" s="47">
        <f>D39*E39</f>
        <v>0</v>
      </c>
    </row>
    <row r="40" spans="1:7" ht="16.5" x14ac:dyDescent="0.35">
      <c r="A40" s="54"/>
      <c r="B40" s="127" t="s">
        <v>207</v>
      </c>
      <c r="C40" s="126" t="s">
        <v>8</v>
      </c>
      <c r="D40" s="47">
        <f>'Izračuni_pred izmere'!E108+'Izračuni_pred izmere'!E159</f>
        <v>3</v>
      </c>
      <c r="E40" s="154"/>
      <c r="F40" s="47">
        <f>D40*E40</f>
        <v>0</v>
      </c>
    </row>
    <row r="41" spans="1:7" x14ac:dyDescent="0.35">
      <c r="A41" s="54"/>
      <c r="B41" s="127"/>
      <c r="C41" s="126"/>
      <c r="D41" s="47"/>
      <c r="E41" s="154"/>
      <c r="F41" s="47"/>
    </row>
    <row r="42" spans="1:7" ht="43.5" x14ac:dyDescent="0.35">
      <c r="A42" s="54" t="s">
        <v>75</v>
      </c>
      <c r="B42" s="128" t="s">
        <v>107</v>
      </c>
      <c r="C42" s="126" t="s">
        <v>208</v>
      </c>
      <c r="D42" s="32">
        <f>'Izračuni_pred izmere'!N219</f>
        <v>7.56</v>
      </c>
      <c r="E42" s="163"/>
      <c r="F42" s="32">
        <f>D42*E42</f>
        <v>0</v>
      </c>
    </row>
    <row r="43" spans="1:7" x14ac:dyDescent="0.35">
      <c r="A43" s="54"/>
      <c r="B43" s="128"/>
      <c r="C43" s="126"/>
      <c r="D43" s="32"/>
      <c r="E43" s="163"/>
      <c r="F43" s="32"/>
    </row>
    <row r="44" spans="1:7" ht="43.5" x14ac:dyDescent="0.35">
      <c r="A44" s="54" t="s">
        <v>83</v>
      </c>
      <c r="B44" s="128" t="s">
        <v>128</v>
      </c>
      <c r="C44" s="126" t="s">
        <v>208</v>
      </c>
      <c r="D44" s="32">
        <f>'Izračuni_pred izmere'!M219</f>
        <v>12.35</v>
      </c>
      <c r="E44" s="163"/>
      <c r="F44" s="32">
        <f>D44*E44</f>
        <v>0</v>
      </c>
    </row>
    <row r="45" spans="1:7" x14ac:dyDescent="0.35">
      <c r="A45" s="54"/>
      <c r="B45" s="128"/>
      <c r="C45" s="126"/>
      <c r="D45" s="32"/>
      <c r="E45" s="163"/>
      <c r="F45" s="32"/>
    </row>
    <row r="46" spans="1:7" ht="47.25" customHeight="1" x14ac:dyDescent="0.35">
      <c r="A46" s="54" t="s">
        <v>118</v>
      </c>
      <c r="B46" s="127" t="s">
        <v>104</v>
      </c>
      <c r="C46" s="126" t="s">
        <v>208</v>
      </c>
      <c r="D46" s="47">
        <f>2*2.6</f>
        <v>5.2</v>
      </c>
      <c r="E46" s="154"/>
      <c r="G46" s="47">
        <f>D46*E46</f>
        <v>0</v>
      </c>
    </row>
    <row r="47" spans="1:7" x14ac:dyDescent="0.35">
      <c r="B47" s="127"/>
      <c r="C47" s="126"/>
      <c r="D47" s="47"/>
      <c r="E47" s="154"/>
      <c r="F47" s="47"/>
    </row>
    <row r="48" spans="1:7" ht="29" x14ac:dyDescent="0.35">
      <c r="A48" s="124">
        <v>8</v>
      </c>
      <c r="B48" s="127" t="s">
        <v>102</v>
      </c>
      <c r="C48" s="126" t="s">
        <v>8</v>
      </c>
      <c r="D48" s="47">
        <v>2</v>
      </c>
      <c r="E48" s="154"/>
      <c r="F48" s="47">
        <f>D48*E48</f>
        <v>0</v>
      </c>
    </row>
    <row r="49" spans="1:7" x14ac:dyDescent="0.35">
      <c r="B49" s="127"/>
      <c r="C49" s="126"/>
      <c r="D49" s="47"/>
      <c r="E49" s="154"/>
      <c r="F49" s="47"/>
    </row>
    <row r="50" spans="1:7" ht="43.5" x14ac:dyDescent="0.35">
      <c r="A50" s="124">
        <v>9</v>
      </c>
      <c r="B50" s="127" t="s">
        <v>135</v>
      </c>
      <c r="C50" s="126" t="s">
        <v>8</v>
      </c>
      <c r="D50" s="47">
        <v>1</v>
      </c>
      <c r="E50" s="154"/>
      <c r="F50" s="47">
        <f>D50*E50</f>
        <v>0</v>
      </c>
    </row>
    <row r="51" spans="1:7" x14ac:dyDescent="0.35">
      <c r="B51" s="127"/>
      <c r="C51" s="126"/>
      <c r="D51" s="47"/>
      <c r="E51" s="154"/>
      <c r="F51" s="47"/>
    </row>
    <row r="52" spans="1:7" x14ac:dyDescent="0.35">
      <c r="A52" s="124">
        <v>10</v>
      </c>
      <c r="B52" s="127" t="s">
        <v>141</v>
      </c>
      <c r="C52" s="126" t="s">
        <v>8</v>
      </c>
      <c r="D52" s="47">
        <v>1</v>
      </c>
      <c r="E52" s="154"/>
      <c r="F52" s="47">
        <f>D52*E52</f>
        <v>0</v>
      </c>
    </row>
    <row r="53" spans="1:7" x14ac:dyDescent="0.35">
      <c r="B53" s="127"/>
      <c r="C53" s="126"/>
      <c r="D53" s="47"/>
      <c r="E53" s="154"/>
      <c r="F53" s="47"/>
    </row>
    <row r="54" spans="1:7" ht="63" customHeight="1" x14ac:dyDescent="0.35">
      <c r="A54" s="124">
        <v>11</v>
      </c>
      <c r="B54" s="192" t="s">
        <v>250</v>
      </c>
      <c r="C54" s="126" t="s">
        <v>208</v>
      </c>
      <c r="D54" s="47">
        <f>'Izračuni_pred izmere'!O219</f>
        <v>17.329999999999998</v>
      </c>
      <c r="E54" s="154"/>
      <c r="F54" s="47">
        <f>D54*E54</f>
        <v>0</v>
      </c>
    </row>
    <row r="55" spans="1:7" x14ac:dyDescent="0.35">
      <c r="B55" s="192"/>
      <c r="C55" s="126"/>
      <c r="D55" s="47"/>
      <c r="E55" s="154"/>
      <c r="F55" s="47"/>
    </row>
    <row r="56" spans="1:7" ht="43.5" x14ac:dyDescent="0.35">
      <c r="A56" s="124">
        <v>12</v>
      </c>
      <c r="B56" s="128" t="s">
        <v>209</v>
      </c>
      <c r="C56" s="109" t="s">
        <v>8</v>
      </c>
      <c r="D56" s="110">
        <v>2</v>
      </c>
      <c r="E56" s="155"/>
      <c r="F56" s="47">
        <f>D56*E56</f>
        <v>0</v>
      </c>
    </row>
    <row r="57" spans="1:7" x14ac:dyDescent="0.35">
      <c r="B57" s="127"/>
      <c r="C57" s="126"/>
      <c r="D57" s="47"/>
      <c r="E57" s="154"/>
      <c r="F57" s="47"/>
    </row>
    <row r="58" spans="1:7" ht="29" x14ac:dyDescent="0.35">
      <c r="A58" s="124">
        <v>13</v>
      </c>
      <c r="B58" s="127" t="s">
        <v>210</v>
      </c>
      <c r="C58" s="126" t="s">
        <v>8</v>
      </c>
      <c r="D58" s="47">
        <v>4</v>
      </c>
      <c r="E58" s="154"/>
      <c r="F58" s="47">
        <f>D58*E58</f>
        <v>0</v>
      </c>
    </row>
    <row r="59" spans="1:7" x14ac:dyDescent="0.35">
      <c r="B59" s="127"/>
      <c r="C59" s="126"/>
      <c r="D59" s="47"/>
      <c r="E59" s="154"/>
      <c r="F59" s="47"/>
    </row>
    <row r="60" spans="1:7" ht="33.75" customHeight="1" x14ac:dyDescent="0.35">
      <c r="A60" s="124">
        <v>14</v>
      </c>
      <c r="B60" s="127" t="s">
        <v>211</v>
      </c>
      <c r="C60" s="126" t="s">
        <v>8</v>
      </c>
      <c r="D60" s="47">
        <v>3</v>
      </c>
      <c r="E60" s="154"/>
      <c r="F60" s="47">
        <f>D60*E60</f>
        <v>0</v>
      </c>
    </row>
    <row r="61" spans="1:7" x14ac:dyDescent="0.35">
      <c r="B61" s="127"/>
      <c r="C61" s="126"/>
      <c r="D61" s="47"/>
      <c r="E61" s="154"/>
      <c r="F61" s="47"/>
    </row>
    <row r="62" spans="1:7" ht="43.5" x14ac:dyDescent="0.35">
      <c r="A62" s="124">
        <v>15</v>
      </c>
      <c r="B62" s="127" t="s">
        <v>170</v>
      </c>
      <c r="C62" s="126" t="s">
        <v>205</v>
      </c>
      <c r="D62" s="47">
        <f>'Izračuni_pred izmere'!P219</f>
        <v>13.57</v>
      </c>
      <c r="E62" s="154"/>
      <c r="F62" s="47">
        <f>D62*E62</f>
        <v>0</v>
      </c>
    </row>
    <row r="63" spans="1:7" x14ac:dyDescent="0.35">
      <c r="B63" s="127"/>
      <c r="C63" s="126"/>
      <c r="D63" s="47"/>
      <c r="E63" s="154"/>
      <c r="F63" s="47"/>
    </row>
    <row r="64" spans="1:7" ht="58" x14ac:dyDescent="0.35">
      <c r="A64" s="124">
        <v>16</v>
      </c>
      <c r="B64" s="127" t="s">
        <v>177</v>
      </c>
      <c r="C64" s="126" t="s">
        <v>205</v>
      </c>
      <c r="D64" s="47">
        <f>2.2*2.8</f>
        <v>6.16</v>
      </c>
      <c r="E64" s="154"/>
      <c r="G64" s="47">
        <f>D64*E64</f>
        <v>0</v>
      </c>
    </row>
    <row r="65" spans="1:7" x14ac:dyDescent="0.35">
      <c r="B65" s="127"/>
      <c r="C65" s="126"/>
      <c r="D65" s="32"/>
      <c r="E65" s="163"/>
      <c r="F65" s="32"/>
    </row>
    <row r="66" spans="1:7" ht="116" x14ac:dyDescent="0.35">
      <c r="A66" s="124">
        <v>17</v>
      </c>
      <c r="B66" s="127" t="s">
        <v>171</v>
      </c>
      <c r="C66" s="126" t="s">
        <v>81</v>
      </c>
      <c r="D66" s="47">
        <v>1</v>
      </c>
      <c r="E66" s="154"/>
      <c r="F66" s="47">
        <f>D66*E66</f>
        <v>0</v>
      </c>
    </row>
    <row r="67" spans="1:7" x14ac:dyDescent="0.35">
      <c r="B67" s="127"/>
      <c r="C67" s="126"/>
      <c r="D67" s="47"/>
      <c r="E67" s="154"/>
      <c r="F67" s="47"/>
    </row>
    <row r="68" spans="1:7" x14ac:dyDescent="0.35">
      <c r="A68" s="54" t="s">
        <v>28</v>
      </c>
      <c r="B68" s="4" t="s">
        <v>30</v>
      </c>
      <c r="C68" s="5"/>
      <c r="D68" s="29"/>
      <c r="E68" s="223"/>
      <c r="F68" s="30">
        <f>SUM(F29:F67)</f>
        <v>0</v>
      </c>
      <c r="G68" s="30">
        <f>SUM(G29:G67)</f>
        <v>0</v>
      </c>
    </row>
    <row r="69" spans="1:7" x14ac:dyDescent="0.35">
      <c r="A69" s="54"/>
      <c r="B69" s="78"/>
      <c r="C69" s="6"/>
      <c r="D69" s="1"/>
      <c r="E69" s="224"/>
      <c r="F69" s="79"/>
    </row>
    <row r="70" spans="1:7" x14ac:dyDescent="0.35">
      <c r="A70" s="2" t="s">
        <v>5</v>
      </c>
      <c r="B70" s="3" t="s">
        <v>73</v>
      </c>
      <c r="C70" s="6"/>
      <c r="D70" s="1"/>
      <c r="E70" s="224"/>
      <c r="F70" s="79"/>
    </row>
    <row r="71" spans="1:7" x14ac:dyDescent="0.35">
      <c r="A71" s="54"/>
      <c r="B71" s="78"/>
      <c r="C71" s="6"/>
      <c r="D71" s="1"/>
      <c r="E71" s="224"/>
      <c r="F71" s="79"/>
    </row>
    <row r="72" spans="1:7" ht="43.5" x14ac:dyDescent="0.35">
      <c r="A72" s="54" t="s">
        <v>4</v>
      </c>
      <c r="B72" s="135" t="s">
        <v>113</v>
      </c>
      <c r="C72" s="126" t="s">
        <v>205</v>
      </c>
      <c r="D72" s="47">
        <f>'Izračuni_pred izmere'!H219</f>
        <v>7.54</v>
      </c>
      <c r="E72" s="154"/>
      <c r="G72" s="47">
        <f>D72*E72</f>
        <v>0</v>
      </c>
    </row>
    <row r="73" spans="1:7" x14ac:dyDescent="0.35">
      <c r="A73" s="54"/>
      <c r="B73" s="78"/>
      <c r="C73" s="6"/>
      <c r="D73" s="1"/>
      <c r="E73" s="224"/>
      <c r="F73" s="79"/>
    </row>
    <row r="74" spans="1:7" ht="43.5" x14ac:dyDescent="0.35">
      <c r="A74" s="54" t="s">
        <v>31</v>
      </c>
      <c r="B74" s="159" t="s">
        <v>115</v>
      </c>
      <c r="C74" s="126" t="s">
        <v>205</v>
      </c>
      <c r="D74" s="47">
        <f>'Izračuni_pred izmere'!I219</f>
        <v>9.27</v>
      </c>
      <c r="E74" s="154"/>
      <c r="F74" s="47">
        <f>D74*E74</f>
        <v>0</v>
      </c>
    </row>
    <row r="75" spans="1:7" x14ac:dyDescent="0.35">
      <c r="A75" s="54"/>
      <c r="B75" s="78"/>
      <c r="C75" s="6"/>
      <c r="D75" s="1"/>
      <c r="E75" s="224"/>
      <c r="F75" s="79"/>
    </row>
    <row r="76" spans="1:7" ht="58" x14ac:dyDescent="0.35">
      <c r="A76" s="54" t="s">
        <v>33</v>
      </c>
      <c r="B76" s="156" t="s">
        <v>290</v>
      </c>
      <c r="C76" s="157" t="s">
        <v>212</v>
      </c>
      <c r="D76" s="158">
        <f>'Izračuni_pred izmere'!S219</f>
        <v>13.43</v>
      </c>
      <c r="E76" s="225"/>
      <c r="F76" s="103">
        <f>+D76*E76</f>
        <v>0</v>
      </c>
    </row>
    <row r="77" spans="1:7" x14ac:dyDescent="0.35">
      <c r="A77" s="54"/>
      <c r="B77" s="80"/>
      <c r="C77" s="81"/>
      <c r="D77" s="82"/>
      <c r="E77" s="226"/>
      <c r="F77" s="83"/>
    </row>
    <row r="78" spans="1:7" ht="36" customHeight="1" x14ac:dyDescent="0.35">
      <c r="A78" s="54" t="s">
        <v>71</v>
      </c>
      <c r="B78" s="159" t="s">
        <v>164</v>
      </c>
      <c r="C78" s="81" t="s">
        <v>212</v>
      </c>
      <c r="D78" s="82">
        <f>'Izračuni_pred izmere'!T219</f>
        <v>2.71</v>
      </c>
      <c r="E78" s="226"/>
      <c r="F78" s="83">
        <f>+D78*E78</f>
        <v>0</v>
      </c>
    </row>
    <row r="79" spans="1:7" x14ac:dyDescent="0.35">
      <c r="A79" s="54"/>
      <c r="B79" s="159"/>
      <c r="C79" s="81"/>
      <c r="D79" s="82"/>
      <c r="E79" s="226"/>
      <c r="F79" s="83"/>
    </row>
    <row r="80" spans="1:7" ht="29" x14ac:dyDescent="0.35">
      <c r="A80" s="54" t="s">
        <v>75</v>
      </c>
      <c r="B80" s="159" t="s">
        <v>150</v>
      </c>
      <c r="C80" s="81" t="s">
        <v>212</v>
      </c>
      <c r="D80" s="160">
        <f>'Izračuni_pred izmere'!U219</f>
        <v>8.8800000000000008</v>
      </c>
      <c r="E80" s="161"/>
      <c r="G80" s="162">
        <f>+D80*E80</f>
        <v>0</v>
      </c>
    </row>
    <row r="81" spans="1:8" x14ac:dyDescent="0.35">
      <c r="A81" s="54"/>
      <c r="B81" s="78"/>
      <c r="C81" s="6"/>
      <c r="D81" s="1"/>
      <c r="E81" s="224"/>
      <c r="F81" s="79"/>
    </row>
    <row r="82" spans="1:8" x14ac:dyDescent="0.35">
      <c r="A82" s="54"/>
      <c r="B82" s="4" t="s">
        <v>74</v>
      </c>
      <c r="C82" s="5"/>
      <c r="D82" s="29"/>
      <c r="E82" s="223"/>
      <c r="F82" s="30">
        <f>SUM(F70:F81)</f>
        <v>0</v>
      </c>
      <c r="G82" s="30">
        <f>SUM(G70:G81)</f>
        <v>0</v>
      </c>
    </row>
    <row r="83" spans="1:8" x14ac:dyDescent="0.35">
      <c r="A83" s="54"/>
      <c r="B83" s="78"/>
      <c r="C83" s="6"/>
      <c r="D83" s="1"/>
      <c r="E83" s="224"/>
      <c r="F83" s="79"/>
    </row>
    <row r="84" spans="1:8" x14ac:dyDescent="0.35">
      <c r="A84" s="2" t="s">
        <v>6</v>
      </c>
      <c r="B84" s="3" t="s">
        <v>7</v>
      </c>
      <c r="C84" s="6"/>
      <c r="D84" s="1"/>
      <c r="E84" s="224"/>
      <c r="F84" s="1"/>
    </row>
    <row r="85" spans="1:8" x14ac:dyDescent="0.35">
      <c r="A85" s="54"/>
      <c r="B85" s="192"/>
      <c r="C85" s="6"/>
      <c r="D85" s="1"/>
      <c r="E85" s="224"/>
      <c r="F85" s="1"/>
    </row>
    <row r="86" spans="1:8" ht="87" x14ac:dyDescent="0.35">
      <c r="A86" s="54" t="s">
        <v>4</v>
      </c>
      <c r="B86" s="192" t="s">
        <v>108</v>
      </c>
      <c r="C86" s="126" t="s">
        <v>205</v>
      </c>
      <c r="D86" s="47">
        <f>'Izračuni_pred izmere'!W219</f>
        <v>40.82</v>
      </c>
      <c r="E86" s="154"/>
      <c r="F86" s="47">
        <f>E86*D86</f>
        <v>0</v>
      </c>
    </row>
    <row r="87" spans="1:8" x14ac:dyDescent="0.35">
      <c r="A87" s="54"/>
      <c r="B87" s="192"/>
      <c r="C87" s="139"/>
      <c r="D87" s="140"/>
      <c r="E87" s="227"/>
      <c r="F87" s="140"/>
    </row>
    <row r="88" spans="1:8" ht="232" x14ac:dyDescent="0.35">
      <c r="A88" s="8">
        <v>2</v>
      </c>
      <c r="B88" s="127" t="s">
        <v>162</v>
      </c>
      <c r="C88" s="126" t="s">
        <v>205</v>
      </c>
      <c r="D88" s="47">
        <f>'Izračuni_pred izmere'!AE219</f>
        <v>8.32</v>
      </c>
      <c r="E88" s="154"/>
      <c r="F88" s="47">
        <f>E88*D88</f>
        <v>0</v>
      </c>
    </row>
    <row r="89" spans="1:8" x14ac:dyDescent="0.35">
      <c r="A89" s="8"/>
      <c r="B89" s="192"/>
      <c r="C89" s="6"/>
      <c r="D89" s="32"/>
      <c r="E89" s="163"/>
      <c r="F89" s="32"/>
    </row>
    <row r="90" spans="1:8" ht="188.5" x14ac:dyDescent="0.35">
      <c r="A90" s="129">
        <v>3</v>
      </c>
      <c r="B90" s="128" t="s">
        <v>97</v>
      </c>
      <c r="C90" s="126" t="s">
        <v>205</v>
      </c>
      <c r="D90" s="32">
        <f>'Izračuni_pred izmere'!X219</f>
        <v>346.86</v>
      </c>
      <c r="E90" s="163"/>
      <c r="F90" s="32">
        <f>E90*D90</f>
        <v>0</v>
      </c>
    </row>
    <row r="91" spans="1:8" x14ac:dyDescent="0.35">
      <c r="A91" s="129"/>
      <c r="B91" s="128"/>
      <c r="C91" s="126"/>
      <c r="D91" s="32"/>
      <c r="E91" s="163"/>
      <c r="F91" s="32"/>
    </row>
    <row r="92" spans="1:8" ht="90.75" customHeight="1" x14ac:dyDescent="0.35">
      <c r="A92" s="129">
        <v>4</v>
      </c>
      <c r="B92" s="195" t="s">
        <v>127</v>
      </c>
      <c r="C92" s="126" t="s">
        <v>205</v>
      </c>
      <c r="D92" s="47">
        <f>'Izračuni_pred izmere'!Y219</f>
        <v>21.24</v>
      </c>
      <c r="E92" s="154"/>
      <c r="F92" s="47">
        <f>E92*D92</f>
        <v>0</v>
      </c>
    </row>
    <row r="93" spans="1:8" x14ac:dyDescent="0.35">
      <c r="A93" s="129"/>
      <c r="B93" s="195"/>
      <c r="C93" s="126"/>
      <c r="D93" s="47"/>
      <c r="E93" s="154"/>
      <c r="F93" s="47"/>
    </row>
    <row r="94" spans="1:8" ht="87" x14ac:dyDescent="0.35">
      <c r="A94" s="129">
        <v>5</v>
      </c>
      <c r="B94" s="127" t="s">
        <v>193</v>
      </c>
      <c r="C94" s="126" t="s">
        <v>205</v>
      </c>
      <c r="D94" s="47">
        <f>'Izračuni_pred izmere'!Z219</f>
        <v>20.25</v>
      </c>
      <c r="E94" s="154"/>
      <c r="G94" s="47">
        <f>E94*D94</f>
        <v>0</v>
      </c>
    </row>
    <row r="95" spans="1:8" x14ac:dyDescent="0.35">
      <c r="A95" s="129"/>
      <c r="B95" s="127"/>
      <c r="C95" s="126"/>
      <c r="D95" s="47"/>
      <c r="E95" s="154"/>
      <c r="F95" s="47"/>
    </row>
    <row r="96" spans="1:8" ht="93" customHeight="1" x14ac:dyDescent="0.35">
      <c r="A96" s="124">
        <v>6</v>
      </c>
      <c r="B96" s="159" t="s">
        <v>130</v>
      </c>
      <c r="C96" s="126" t="s">
        <v>208</v>
      </c>
      <c r="D96" s="47">
        <f>'Izračuni_pred izmere'!AB219</f>
        <v>25.45</v>
      </c>
      <c r="E96" s="154"/>
      <c r="F96" s="47">
        <f>E96*D96</f>
        <v>0</v>
      </c>
      <c r="H96" s="118"/>
    </row>
    <row r="97" spans="1:12" x14ac:dyDescent="0.35">
      <c r="B97" s="159"/>
      <c r="C97" s="126"/>
      <c r="D97" s="47"/>
      <c r="E97" s="154"/>
      <c r="F97" s="47"/>
      <c r="H97" s="118"/>
    </row>
    <row r="98" spans="1:12" ht="72.5" x14ac:dyDescent="0.35">
      <c r="A98" s="124">
        <v>7</v>
      </c>
      <c r="B98" s="159" t="s">
        <v>199</v>
      </c>
      <c r="C98" s="126" t="s">
        <v>8</v>
      </c>
      <c r="D98" s="32">
        <v>2</v>
      </c>
      <c r="E98" s="163"/>
      <c r="F98" s="32">
        <f>E98*D98</f>
        <v>0</v>
      </c>
      <c r="H98" s="118"/>
    </row>
    <row r="99" spans="1:12" x14ac:dyDescent="0.35">
      <c r="B99" s="159"/>
      <c r="C99" s="126"/>
      <c r="D99" s="47"/>
      <c r="E99" s="154"/>
      <c r="F99" s="47"/>
      <c r="H99" s="118"/>
    </row>
    <row r="100" spans="1:12" ht="60.75" customHeight="1" x14ac:dyDescent="0.35">
      <c r="A100" s="124">
        <v>8</v>
      </c>
      <c r="B100" s="159" t="s">
        <v>159</v>
      </c>
      <c r="C100" s="126" t="s">
        <v>8</v>
      </c>
      <c r="D100" s="32">
        <v>2</v>
      </c>
      <c r="E100" s="163"/>
      <c r="F100" s="32">
        <f>E100*D100</f>
        <v>0</v>
      </c>
      <c r="H100" s="118"/>
    </row>
    <row r="101" spans="1:12" x14ac:dyDescent="0.35">
      <c r="B101" s="159"/>
      <c r="C101" s="126"/>
      <c r="D101" s="32"/>
      <c r="E101" s="163"/>
      <c r="F101" s="32"/>
      <c r="H101" s="118"/>
    </row>
    <row r="102" spans="1:12" ht="58" x14ac:dyDescent="0.35">
      <c r="A102" s="124">
        <v>9</v>
      </c>
      <c r="B102" s="127" t="s">
        <v>146</v>
      </c>
      <c r="C102" s="126"/>
      <c r="D102" s="32"/>
      <c r="E102" s="163"/>
      <c r="F102" s="32"/>
      <c r="H102" s="118"/>
    </row>
    <row r="103" spans="1:12" ht="16.5" x14ac:dyDescent="0.35">
      <c r="B103" s="127" t="s">
        <v>213</v>
      </c>
      <c r="C103" s="126" t="s">
        <v>8</v>
      </c>
      <c r="D103" s="47">
        <f>D199+D200+D201+D202+D203</f>
        <v>9</v>
      </c>
      <c r="E103" s="154"/>
      <c r="F103" s="47">
        <f>E103*D103</f>
        <v>0</v>
      </c>
      <c r="H103" s="118"/>
    </row>
    <row r="104" spans="1:12" x14ac:dyDescent="0.35">
      <c r="B104" s="159"/>
      <c r="C104" s="126"/>
      <c r="D104" s="47"/>
      <c r="E104" s="154"/>
      <c r="F104" s="47"/>
      <c r="H104" s="118"/>
    </row>
    <row r="105" spans="1:12" ht="58" x14ac:dyDescent="0.35">
      <c r="A105" s="124">
        <v>10</v>
      </c>
      <c r="B105" s="128" t="s">
        <v>152</v>
      </c>
      <c r="C105" s="126" t="s">
        <v>205</v>
      </c>
      <c r="D105" s="32">
        <f>'Izračuni_pred izmere'!AC219</f>
        <v>7.53</v>
      </c>
      <c r="E105" s="163"/>
      <c r="F105" s="32">
        <f>E105*D105</f>
        <v>0</v>
      </c>
      <c r="I105" s="105"/>
      <c r="J105" s="105"/>
      <c r="K105" s="105"/>
      <c r="L105" s="105"/>
    </row>
    <row r="106" spans="1:12" x14ac:dyDescent="0.35">
      <c r="B106" s="128"/>
      <c r="C106" s="126"/>
      <c r="D106" s="32"/>
      <c r="E106" s="163"/>
      <c r="F106" s="32"/>
      <c r="I106" s="105"/>
      <c r="J106" s="105"/>
      <c r="K106" s="105"/>
      <c r="L106" s="105"/>
    </row>
    <row r="107" spans="1:12" ht="75.5" x14ac:dyDescent="0.35">
      <c r="A107" s="124">
        <v>11</v>
      </c>
      <c r="B107" s="196" t="s">
        <v>214</v>
      </c>
      <c r="C107" s="157" t="s">
        <v>208</v>
      </c>
      <c r="D107" s="197">
        <f>'Izračuni_pred izmere'!AA219</f>
        <v>10.84</v>
      </c>
      <c r="E107" s="228"/>
      <c r="G107" s="47">
        <f>E107*D107</f>
        <v>0</v>
      </c>
      <c r="I107" s="105"/>
      <c r="J107" s="105"/>
      <c r="K107" s="105"/>
      <c r="L107" s="105"/>
    </row>
    <row r="108" spans="1:12" x14ac:dyDescent="0.35">
      <c r="B108" s="196"/>
      <c r="C108" s="157"/>
      <c r="D108" s="197"/>
      <c r="E108" s="228"/>
      <c r="F108" s="47"/>
      <c r="I108" s="105"/>
      <c r="J108" s="105"/>
      <c r="K108" s="105"/>
      <c r="L108" s="105"/>
    </row>
    <row r="109" spans="1:12" ht="72.5" x14ac:dyDescent="0.35">
      <c r="A109" s="124">
        <v>12</v>
      </c>
      <c r="B109" s="192" t="s">
        <v>166</v>
      </c>
      <c r="C109" s="126" t="s">
        <v>205</v>
      </c>
      <c r="D109" s="32">
        <f>'Izračuni_pred izmere'!AD219</f>
        <v>13.57</v>
      </c>
      <c r="E109" s="163"/>
      <c r="F109" s="32">
        <f>D109*E109</f>
        <v>0</v>
      </c>
      <c r="I109" s="105"/>
      <c r="J109" s="105"/>
      <c r="K109" s="105"/>
      <c r="L109" s="105"/>
    </row>
    <row r="110" spans="1:12" x14ac:dyDescent="0.35">
      <c r="B110" s="196"/>
      <c r="C110" s="157"/>
      <c r="D110" s="197"/>
      <c r="E110" s="228"/>
      <c r="F110" s="47"/>
      <c r="I110" s="105"/>
      <c r="J110" s="105"/>
      <c r="K110" s="105"/>
      <c r="L110" s="105"/>
    </row>
    <row r="111" spans="1:12" ht="58" x14ac:dyDescent="0.35">
      <c r="A111" s="124">
        <v>13</v>
      </c>
      <c r="B111" s="127" t="s">
        <v>178</v>
      </c>
      <c r="C111" s="126" t="s">
        <v>8</v>
      </c>
      <c r="D111" s="47">
        <v>3</v>
      </c>
      <c r="E111" s="154"/>
      <c r="F111" s="47">
        <f>E111*D111</f>
        <v>0</v>
      </c>
      <c r="I111" s="105"/>
      <c r="J111" s="105"/>
      <c r="K111" s="105"/>
      <c r="L111" s="105"/>
    </row>
    <row r="112" spans="1:12" x14ac:dyDescent="0.35">
      <c r="B112" s="127"/>
      <c r="C112" s="126"/>
      <c r="D112" s="47"/>
      <c r="E112" s="154"/>
      <c r="F112" s="47"/>
      <c r="I112" s="105"/>
      <c r="J112" s="105"/>
      <c r="K112" s="105"/>
      <c r="L112" s="105"/>
    </row>
    <row r="113" spans="1:12" ht="127.5" customHeight="1" x14ac:dyDescent="0.35">
      <c r="A113" s="124">
        <v>14</v>
      </c>
      <c r="B113" s="127" t="s">
        <v>215</v>
      </c>
      <c r="C113" s="126" t="s">
        <v>205</v>
      </c>
      <c r="D113" s="32">
        <f>'Izračuni_pred izmere'!AF219</f>
        <v>85.29</v>
      </c>
      <c r="E113" s="163"/>
      <c r="F113" s="32">
        <f>E113*D113</f>
        <v>0</v>
      </c>
      <c r="I113" s="105"/>
      <c r="J113" s="105"/>
      <c r="K113" s="105"/>
      <c r="L113" s="105"/>
    </row>
    <row r="114" spans="1:12" x14ac:dyDescent="0.35">
      <c r="B114" s="127"/>
      <c r="C114" s="126"/>
      <c r="D114" s="32"/>
      <c r="E114" s="163"/>
      <c r="F114" s="32"/>
      <c r="I114" s="105"/>
      <c r="J114" s="105"/>
      <c r="K114" s="105"/>
      <c r="L114" s="105"/>
    </row>
    <row r="115" spans="1:12" ht="116" x14ac:dyDescent="0.35">
      <c r="A115" s="124">
        <v>15</v>
      </c>
      <c r="B115" s="127" t="s">
        <v>203</v>
      </c>
      <c r="C115" s="126" t="s">
        <v>205</v>
      </c>
      <c r="D115" s="32">
        <f>'Izračuni_pred izmere'!AF219</f>
        <v>85.29</v>
      </c>
      <c r="E115" s="163"/>
      <c r="F115" s="32">
        <f>E115*D115</f>
        <v>0</v>
      </c>
      <c r="I115" s="105"/>
      <c r="J115" s="105"/>
      <c r="K115" s="105"/>
      <c r="L115" s="105"/>
    </row>
    <row r="116" spans="1:12" x14ac:dyDescent="0.35">
      <c r="B116" s="128"/>
      <c r="C116" s="126"/>
      <c r="D116" s="32"/>
      <c r="E116" s="163"/>
      <c r="F116" s="32"/>
      <c r="I116" s="105"/>
      <c r="J116" s="105"/>
      <c r="K116" s="105"/>
      <c r="L116" s="105"/>
    </row>
    <row r="117" spans="1:12" x14ac:dyDescent="0.35">
      <c r="A117" s="8">
        <v>16</v>
      </c>
      <c r="B117" s="192" t="s">
        <v>163</v>
      </c>
      <c r="C117" s="6"/>
      <c r="D117" s="1"/>
      <c r="E117" s="224"/>
      <c r="F117" s="32">
        <f>E117*D117</f>
        <v>0</v>
      </c>
      <c r="I117" s="105"/>
      <c r="J117" s="105"/>
      <c r="K117" s="105"/>
      <c r="L117" s="105"/>
    </row>
    <row r="118" spans="1:12" x14ac:dyDescent="0.35">
      <c r="A118" s="54"/>
      <c r="B118" s="192" t="s">
        <v>9</v>
      </c>
      <c r="C118" s="6" t="s">
        <v>10</v>
      </c>
      <c r="D118" s="1">
        <v>15</v>
      </c>
      <c r="E118" s="224"/>
      <c r="F118" s="32">
        <f>E118*D118</f>
        <v>0</v>
      </c>
      <c r="I118" s="105"/>
      <c r="J118" s="105"/>
      <c r="K118" s="105"/>
      <c r="L118" s="105"/>
    </row>
    <row r="119" spans="1:12" x14ac:dyDescent="0.35">
      <c r="A119" s="54"/>
      <c r="B119" s="192" t="s">
        <v>11</v>
      </c>
      <c r="C119" s="6" t="s">
        <v>10</v>
      </c>
      <c r="D119" s="1">
        <v>30</v>
      </c>
      <c r="E119" s="224"/>
      <c r="F119" s="32">
        <f>E119*D119</f>
        <v>0</v>
      </c>
      <c r="I119" s="105"/>
      <c r="J119" s="105"/>
      <c r="K119" s="105"/>
      <c r="L119" s="105"/>
    </row>
    <row r="120" spans="1:12" x14ac:dyDescent="0.35">
      <c r="A120" s="54"/>
      <c r="B120" s="192"/>
      <c r="C120" s="6"/>
      <c r="D120" s="1"/>
      <c r="E120" s="224"/>
      <c r="F120" s="1"/>
      <c r="I120" s="105"/>
      <c r="J120" s="105"/>
      <c r="K120" s="105"/>
      <c r="L120" s="105"/>
    </row>
    <row r="121" spans="1:12" x14ac:dyDescent="0.35">
      <c r="A121" s="54"/>
      <c r="B121" s="4" t="s">
        <v>12</v>
      </c>
      <c r="C121" s="5"/>
      <c r="D121" s="29"/>
      <c r="E121" s="223"/>
      <c r="F121" s="30">
        <f>SUM(F84:F120)</f>
        <v>0</v>
      </c>
      <c r="G121" s="30">
        <f>SUM(G84:G120)</f>
        <v>0</v>
      </c>
      <c r="I121" s="105"/>
      <c r="J121" s="105"/>
      <c r="K121" s="105"/>
      <c r="L121" s="105"/>
    </row>
    <row r="122" spans="1:12" x14ac:dyDescent="0.35">
      <c r="A122" s="105"/>
      <c r="B122" s="129"/>
      <c r="C122" s="105"/>
      <c r="D122" s="105"/>
      <c r="E122" s="229"/>
      <c r="F122" s="105"/>
      <c r="I122" s="105"/>
      <c r="J122" s="105"/>
      <c r="K122" s="105"/>
      <c r="L122" s="105"/>
    </row>
    <row r="123" spans="1:12" x14ac:dyDescent="0.35">
      <c r="A123" s="105"/>
      <c r="B123" s="129"/>
      <c r="C123" s="105"/>
      <c r="D123" s="105"/>
      <c r="E123" s="229"/>
      <c r="F123" s="105"/>
      <c r="I123" s="105"/>
      <c r="J123" s="105"/>
      <c r="K123" s="105"/>
      <c r="L123" s="105"/>
    </row>
    <row r="124" spans="1:12" x14ac:dyDescent="0.35">
      <c r="A124" s="105"/>
      <c r="B124" s="129"/>
      <c r="C124" s="105"/>
      <c r="D124" s="105"/>
      <c r="E124" s="229"/>
      <c r="F124" s="105"/>
      <c r="I124" s="105"/>
      <c r="J124" s="105"/>
      <c r="K124" s="105"/>
      <c r="L124" s="105"/>
    </row>
    <row r="125" spans="1:12" x14ac:dyDescent="0.35">
      <c r="A125" s="105"/>
      <c r="B125" s="129"/>
      <c r="C125" s="105"/>
      <c r="D125" s="105"/>
      <c r="E125" s="229"/>
      <c r="F125" s="105"/>
      <c r="I125" s="105"/>
      <c r="J125" s="105"/>
      <c r="K125" s="105"/>
      <c r="L125" s="105"/>
    </row>
    <row r="126" spans="1:12" x14ac:dyDescent="0.35">
      <c r="A126" s="105"/>
      <c r="B126" s="129"/>
      <c r="C126" s="105"/>
      <c r="D126" s="105"/>
      <c r="E126" s="229"/>
      <c r="F126" s="105"/>
      <c r="I126" s="105"/>
      <c r="J126" s="105"/>
      <c r="K126" s="105"/>
      <c r="L126" s="105"/>
    </row>
    <row r="127" spans="1:12" x14ac:dyDescent="0.35">
      <c r="A127" s="105"/>
      <c r="B127" s="129"/>
      <c r="C127" s="105"/>
      <c r="D127" s="105"/>
      <c r="E127" s="229"/>
      <c r="F127" s="105"/>
      <c r="I127" s="105"/>
      <c r="J127" s="105"/>
      <c r="K127" s="105"/>
      <c r="L127" s="105"/>
    </row>
    <row r="128" spans="1:12" x14ac:dyDescent="0.35">
      <c r="A128" s="9" t="s">
        <v>13</v>
      </c>
      <c r="B128" s="10" t="s">
        <v>14</v>
      </c>
      <c r="C128" s="11"/>
      <c r="D128" s="33"/>
      <c r="E128" s="230"/>
      <c r="F128" s="33"/>
      <c r="I128" s="105"/>
      <c r="J128" s="105"/>
      <c r="K128" s="105"/>
      <c r="L128" s="105"/>
    </row>
    <row r="129" spans="1:12" x14ac:dyDescent="0.35">
      <c r="A129" s="12"/>
      <c r="B129" s="130"/>
      <c r="C129" s="131"/>
      <c r="D129" s="44"/>
      <c r="E129" s="231"/>
      <c r="F129" s="44"/>
      <c r="I129" s="105"/>
      <c r="J129" s="105"/>
      <c r="K129" s="105"/>
      <c r="L129" s="105"/>
    </row>
    <row r="130" spans="1:12" ht="87" x14ac:dyDescent="0.35">
      <c r="A130" s="12" t="s">
        <v>4</v>
      </c>
      <c r="B130" s="164" t="s">
        <v>129</v>
      </c>
      <c r="C130" s="126" t="s">
        <v>205</v>
      </c>
      <c r="D130" s="32">
        <f>'Izračuni_pred izmere'!AI219</f>
        <v>460.77</v>
      </c>
      <c r="E130" s="163"/>
      <c r="F130" s="32">
        <f>E130*D130</f>
        <v>0</v>
      </c>
      <c r="I130" s="105"/>
      <c r="J130" s="105"/>
      <c r="K130" s="105"/>
      <c r="L130" s="105"/>
    </row>
    <row r="131" spans="1:12" x14ac:dyDescent="0.35">
      <c r="A131" s="12"/>
      <c r="B131" s="130"/>
      <c r="C131" s="131"/>
      <c r="D131" s="44"/>
      <c r="E131" s="231"/>
      <c r="F131" s="44"/>
      <c r="I131" s="105"/>
      <c r="J131" s="105"/>
      <c r="K131" s="105"/>
      <c r="L131" s="105"/>
    </row>
    <row r="132" spans="1:12" ht="43.5" x14ac:dyDescent="0.35">
      <c r="A132" s="129">
        <v>2</v>
      </c>
      <c r="B132" s="128" t="s">
        <v>124</v>
      </c>
      <c r="C132" s="126" t="s">
        <v>208</v>
      </c>
      <c r="D132" s="32">
        <f>'Izračuni_pred izmere'!AJ219</f>
        <v>2.42</v>
      </c>
      <c r="E132" s="163"/>
      <c r="F132" s="32">
        <f>E132*D132</f>
        <v>0</v>
      </c>
      <c r="I132" s="105"/>
      <c r="J132" s="105"/>
      <c r="K132" s="105"/>
      <c r="L132" s="105"/>
    </row>
    <row r="133" spans="1:12" x14ac:dyDescent="0.35">
      <c r="A133" s="129"/>
      <c r="B133" s="128"/>
      <c r="C133" s="126"/>
      <c r="D133" s="32"/>
      <c r="E133" s="163"/>
      <c r="F133" s="32"/>
      <c r="I133" s="105"/>
      <c r="J133" s="105"/>
      <c r="K133" s="105"/>
      <c r="L133" s="105"/>
    </row>
    <row r="134" spans="1:12" x14ac:dyDescent="0.35">
      <c r="A134" s="12"/>
      <c r="B134" s="13" t="s">
        <v>15</v>
      </c>
      <c r="C134" s="14"/>
      <c r="D134" s="34"/>
      <c r="E134" s="232"/>
      <c r="F134" s="35">
        <f>SUM(F128:F133)</f>
        <v>0</v>
      </c>
      <c r="G134" s="35">
        <f>SUM(G128:G133)</f>
        <v>0</v>
      </c>
      <c r="I134" s="105"/>
      <c r="J134" s="105"/>
      <c r="K134" s="105"/>
      <c r="L134" s="105"/>
    </row>
    <row r="135" spans="1:12" x14ac:dyDescent="0.35">
      <c r="A135" s="12"/>
      <c r="B135" s="15"/>
      <c r="C135" s="11"/>
      <c r="D135" s="33"/>
      <c r="E135" s="33"/>
      <c r="F135" s="36"/>
      <c r="I135" s="105"/>
      <c r="J135" s="105"/>
      <c r="K135" s="105"/>
      <c r="L135" s="105"/>
    </row>
    <row r="136" spans="1:12" x14ac:dyDescent="0.35">
      <c r="A136" s="16" t="s">
        <v>16</v>
      </c>
      <c r="B136" s="17" t="s">
        <v>17</v>
      </c>
      <c r="C136" s="18"/>
      <c r="D136" s="37"/>
      <c r="E136" s="37"/>
      <c r="F136" s="37"/>
      <c r="I136" s="105"/>
      <c r="J136" s="105"/>
      <c r="K136" s="105"/>
      <c r="L136" s="105"/>
    </row>
    <row r="137" spans="1:12" x14ac:dyDescent="0.35">
      <c r="A137" s="16"/>
      <c r="B137" s="17"/>
      <c r="C137" s="18"/>
      <c r="D137" s="37"/>
      <c r="E137" s="37"/>
      <c r="F137" s="37"/>
      <c r="I137" s="105"/>
      <c r="J137" s="105"/>
      <c r="K137" s="105"/>
      <c r="L137" s="105"/>
    </row>
    <row r="138" spans="1:12" x14ac:dyDescent="0.35">
      <c r="A138" s="16"/>
      <c r="B138" s="250" t="s">
        <v>80</v>
      </c>
      <c r="C138" s="249"/>
      <c r="D138" s="249"/>
      <c r="E138" s="249"/>
      <c r="F138" s="249"/>
      <c r="I138" s="105"/>
      <c r="J138" s="105"/>
      <c r="K138" s="105"/>
      <c r="L138" s="105"/>
    </row>
    <row r="139" spans="1:12" ht="95.25" customHeight="1" x14ac:dyDescent="0.35">
      <c r="A139" s="16"/>
      <c r="B139" s="249"/>
      <c r="C139" s="249"/>
      <c r="D139" s="249"/>
      <c r="E139" s="249"/>
      <c r="F139" s="249"/>
      <c r="I139" s="105"/>
      <c r="J139" s="105"/>
      <c r="K139" s="105"/>
      <c r="L139" s="105"/>
    </row>
    <row r="140" spans="1:12" x14ac:dyDescent="0.35">
      <c r="A140" s="19"/>
      <c r="B140" s="20"/>
      <c r="C140" s="7"/>
      <c r="D140" s="31"/>
      <c r="E140" s="31"/>
      <c r="F140" s="31"/>
      <c r="I140" s="105"/>
      <c r="J140" s="105"/>
      <c r="K140" s="105"/>
      <c r="L140" s="105"/>
    </row>
    <row r="141" spans="1:12" ht="163.5" x14ac:dyDescent="0.35">
      <c r="A141" s="19" t="s">
        <v>4</v>
      </c>
      <c r="B141" s="127" t="s">
        <v>216</v>
      </c>
      <c r="C141" s="126" t="s">
        <v>205</v>
      </c>
      <c r="D141" s="32">
        <f>'Izračuni_pred izmere'!AM219</f>
        <v>56.16</v>
      </c>
      <c r="E141" s="163"/>
      <c r="F141" s="32">
        <f>E141*D141</f>
        <v>0</v>
      </c>
      <c r="H141" s="118"/>
      <c r="I141" s="105"/>
      <c r="J141" s="105"/>
      <c r="K141" s="105"/>
      <c r="L141" s="105"/>
    </row>
    <row r="142" spans="1:12" x14ac:dyDescent="0.35">
      <c r="A142" s="19"/>
      <c r="B142" s="127"/>
      <c r="C142" s="126"/>
      <c r="D142" s="32"/>
      <c r="E142" s="163"/>
      <c r="F142" s="32"/>
      <c r="I142" s="105"/>
      <c r="J142" s="105"/>
      <c r="K142" s="105"/>
      <c r="L142" s="105"/>
    </row>
    <row r="143" spans="1:12" ht="173.25" customHeight="1" x14ac:dyDescent="0.35">
      <c r="A143" s="19" t="s">
        <v>31</v>
      </c>
      <c r="B143" s="192" t="s">
        <v>249</v>
      </c>
      <c r="C143" s="126" t="s">
        <v>205</v>
      </c>
      <c r="D143" s="32">
        <f>'Izračuni_pred izmere'!AN219</f>
        <v>313.36</v>
      </c>
      <c r="E143" s="163"/>
      <c r="F143" s="32">
        <f>E143*D143</f>
        <v>0</v>
      </c>
      <c r="I143" s="105"/>
      <c r="J143" s="105"/>
      <c r="K143" s="105"/>
      <c r="L143" s="105"/>
    </row>
    <row r="144" spans="1:12" x14ac:dyDescent="0.35">
      <c r="A144" s="19"/>
      <c r="B144" s="127"/>
      <c r="C144" s="126"/>
      <c r="D144" s="32"/>
      <c r="E144" s="163"/>
      <c r="F144" s="32"/>
      <c r="I144" s="105"/>
      <c r="J144" s="105"/>
      <c r="K144" s="105"/>
      <c r="L144" s="105"/>
    </row>
    <row r="145" spans="1:12" ht="89" x14ac:dyDescent="0.35">
      <c r="A145" s="19" t="s">
        <v>33</v>
      </c>
      <c r="B145" s="127" t="s">
        <v>217</v>
      </c>
      <c r="C145" s="126" t="s">
        <v>205</v>
      </c>
      <c r="D145" s="32">
        <f>'Izračuni_pred izmere'!AO219</f>
        <v>105.75</v>
      </c>
      <c r="E145" s="163"/>
      <c r="F145" s="32">
        <f>E145*D145</f>
        <v>0</v>
      </c>
      <c r="I145" s="105"/>
      <c r="J145" s="105"/>
      <c r="K145" s="105"/>
      <c r="L145" s="105"/>
    </row>
    <row r="146" spans="1:12" x14ac:dyDescent="0.35">
      <c r="A146" s="19"/>
      <c r="B146" s="127"/>
      <c r="C146" s="126"/>
      <c r="D146" s="32"/>
      <c r="E146" s="163"/>
      <c r="F146" s="32"/>
      <c r="I146" s="105"/>
      <c r="J146" s="105"/>
      <c r="K146" s="105"/>
      <c r="L146" s="105"/>
    </row>
    <row r="147" spans="1:12" ht="120" x14ac:dyDescent="0.35">
      <c r="A147" s="19" t="s">
        <v>71</v>
      </c>
      <c r="B147" s="127" t="s">
        <v>218</v>
      </c>
      <c r="C147" s="126" t="s">
        <v>205</v>
      </c>
      <c r="D147" s="32">
        <f>1.35*0.8*1.1</f>
        <v>1.1880000000000002</v>
      </c>
      <c r="E147" s="163"/>
      <c r="F147" s="32">
        <f>E147*D147</f>
        <v>0</v>
      </c>
      <c r="I147" s="105"/>
      <c r="J147" s="105"/>
      <c r="K147" s="105"/>
      <c r="L147" s="105"/>
    </row>
    <row r="148" spans="1:12" x14ac:dyDescent="0.35">
      <c r="A148" s="19"/>
      <c r="B148" s="127"/>
      <c r="C148" s="126"/>
      <c r="D148" s="32"/>
      <c r="E148" s="163"/>
      <c r="F148" s="32"/>
      <c r="I148" s="105"/>
      <c r="J148" s="105"/>
      <c r="K148" s="105"/>
      <c r="L148" s="105"/>
    </row>
    <row r="149" spans="1:12" ht="275.5" x14ac:dyDescent="0.35">
      <c r="A149" s="124">
        <v>5</v>
      </c>
      <c r="B149" s="127" t="s">
        <v>119</v>
      </c>
      <c r="C149" s="126" t="s">
        <v>205</v>
      </c>
      <c r="D149" s="32">
        <f>'Izračuni_pred izmere'!AP219</f>
        <v>312.27</v>
      </c>
      <c r="E149" s="163"/>
      <c r="F149" s="32">
        <f>E149*D149</f>
        <v>0</v>
      </c>
      <c r="I149" s="105"/>
      <c r="J149" s="105"/>
      <c r="K149" s="105"/>
      <c r="L149" s="105"/>
    </row>
    <row r="150" spans="1:12" x14ac:dyDescent="0.35">
      <c r="B150" s="127"/>
      <c r="C150" s="126"/>
      <c r="D150" s="32"/>
      <c r="E150" s="163"/>
      <c r="F150" s="32"/>
      <c r="I150" s="105"/>
      <c r="J150" s="105"/>
      <c r="K150" s="105"/>
      <c r="L150" s="105"/>
    </row>
    <row r="151" spans="1:12" ht="174" x14ac:dyDescent="0.35">
      <c r="A151" s="124">
        <v>6</v>
      </c>
      <c r="B151" s="127" t="s">
        <v>172</v>
      </c>
      <c r="C151" s="126" t="s">
        <v>205</v>
      </c>
      <c r="D151" s="32">
        <f>'Izračuni_pred izmere'!AQ219</f>
        <v>5.08</v>
      </c>
      <c r="E151" s="163"/>
      <c r="F151" s="32">
        <f>E151*D151</f>
        <v>0</v>
      </c>
      <c r="I151" s="105"/>
      <c r="J151" s="105"/>
      <c r="K151" s="105"/>
      <c r="L151" s="105"/>
    </row>
    <row r="152" spans="1:12" x14ac:dyDescent="0.35">
      <c r="B152" s="127"/>
      <c r="C152" s="126"/>
      <c r="D152" s="32"/>
      <c r="E152" s="163"/>
      <c r="F152" s="32"/>
      <c r="I152" s="105"/>
      <c r="J152" s="105"/>
      <c r="K152" s="105"/>
      <c r="L152" s="105"/>
    </row>
    <row r="153" spans="1:12" x14ac:dyDescent="0.35">
      <c r="A153" s="19"/>
      <c r="B153" s="21" t="s">
        <v>18</v>
      </c>
      <c r="C153" s="22"/>
      <c r="D153" s="38"/>
      <c r="E153" s="233"/>
      <c r="F153" s="39">
        <f>SUM(F141:F152)</f>
        <v>0</v>
      </c>
      <c r="G153" s="39">
        <f>SUM(G141:G152)</f>
        <v>0</v>
      </c>
      <c r="I153" s="105"/>
      <c r="J153" s="105"/>
      <c r="K153" s="105"/>
      <c r="L153" s="105"/>
    </row>
    <row r="154" spans="1:12" x14ac:dyDescent="0.35">
      <c r="A154" s="26"/>
      <c r="B154" s="28"/>
      <c r="C154" s="25"/>
      <c r="D154" s="40"/>
      <c r="E154" s="234"/>
      <c r="F154" s="43"/>
      <c r="I154" s="105"/>
      <c r="J154" s="105"/>
      <c r="K154" s="105"/>
      <c r="L154" s="105"/>
    </row>
    <row r="155" spans="1:12" x14ac:dyDescent="0.35">
      <c r="A155" s="23" t="s">
        <v>19</v>
      </c>
      <c r="B155" s="24" t="s">
        <v>22</v>
      </c>
      <c r="C155" s="25"/>
      <c r="D155" s="40"/>
      <c r="E155" s="234"/>
      <c r="F155" s="40"/>
      <c r="I155" s="105"/>
      <c r="J155" s="105"/>
      <c r="K155" s="105"/>
      <c r="L155" s="105"/>
    </row>
    <row r="156" spans="1:12" x14ac:dyDescent="0.35">
      <c r="A156" s="26"/>
      <c r="B156" s="193"/>
      <c r="C156" s="7"/>
      <c r="D156" s="31"/>
      <c r="E156" s="235"/>
      <c r="F156" s="31"/>
      <c r="I156" s="105"/>
      <c r="J156" s="105"/>
      <c r="K156" s="105"/>
      <c r="L156" s="105"/>
    </row>
    <row r="157" spans="1:12" ht="72.5" x14ac:dyDescent="0.35">
      <c r="A157" s="124">
        <v>1</v>
      </c>
      <c r="B157" s="193" t="s">
        <v>251</v>
      </c>
      <c r="C157" s="126" t="s">
        <v>208</v>
      </c>
      <c r="D157" s="32">
        <f>'Izračuni_pred izmere'!AT219</f>
        <v>17.329999999999998</v>
      </c>
      <c r="E157" s="163"/>
      <c r="F157" s="32">
        <f>E157*D157</f>
        <v>0</v>
      </c>
    </row>
    <row r="158" spans="1:12" x14ac:dyDescent="0.35">
      <c r="B158" s="193"/>
      <c r="C158" s="126"/>
      <c r="D158" s="32"/>
      <c r="E158" s="163"/>
      <c r="F158" s="32"/>
    </row>
    <row r="159" spans="1:12" x14ac:dyDescent="0.35">
      <c r="A159" s="26"/>
      <c r="B159" s="104" t="s">
        <v>23</v>
      </c>
      <c r="C159" s="27"/>
      <c r="D159" s="41"/>
      <c r="E159" s="236"/>
      <c r="F159" s="42">
        <f>SUM(F155:F158)</f>
        <v>0</v>
      </c>
      <c r="G159" s="42">
        <f>SUM(G155:G158)</f>
        <v>0</v>
      </c>
      <c r="I159" s="105"/>
      <c r="J159" s="105"/>
      <c r="K159" s="105"/>
      <c r="L159" s="105"/>
    </row>
    <row r="160" spans="1:12" x14ac:dyDescent="0.35">
      <c r="E160" s="155"/>
      <c r="I160" s="105"/>
      <c r="J160" s="105"/>
      <c r="K160" s="105"/>
      <c r="L160" s="105"/>
    </row>
    <row r="161" spans="1:12" x14ac:dyDescent="0.35">
      <c r="A161" s="23" t="s">
        <v>20</v>
      </c>
      <c r="B161" s="24" t="s">
        <v>179</v>
      </c>
      <c r="E161" s="155"/>
      <c r="I161" s="105"/>
      <c r="J161" s="105"/>
      <c r="K161" s="105"/>
      <c r="L161" s="105"/>
    </row>
    <row r="162" spans="1:12" x14ac:dyDescent="0.35">
      <c r="A162" s="26"/>
      <c r="B162" s="193"/>
      <c r="E162" s="155"/>
      <c r="I162" s="105"/>
      <c r="J162" s="105"/>
      <c r="K162" s="105"/>
      <c r="L162" s="105"/>
    </row>
    <row r="163" spans="1:12" ht="103.5" x14ac:dyDescent="0.35">
      <c r="A163" s="26" t="s">
        <v>4</v>
      </c>
      <c r="B163" s="199" t="s">
        <v>219</v>
      </c>
      <c r="C163" s="126" t="s">
        <v>205</v>
      </c>
      <c r="D163" s="165">
        <f>'Izračuni_pred izmere'!AW219</f>
        <v>17.260000000000002</v>
      </c>
      <c r="E163" s="166"/>
      <c r="G163" s="165">
        <f>E163*D163</f>
        <v>0</v>
      </c>
      <c r="I163" s="105"/>
      <c r="J163" s="105"/>
      <c r="K163" s="105"/>
      <c r="L163" s="105"/>
    </row>
    <row r="164" spans="1:12" x14ac:dyDescent="0.35">
      <c r="A164" s="26"/>
      <c r="B164" s="199"/>
      <c r="C164" s="126"/>
      <c r="D164" s="165"/>
      <c r="E164" s="166"/>
      <c r="G164" s="165"/>
      <c r="I164" s="105"/>
      <c r="J164" s="105"/>
      <c r="K164" s="105"/>
      <c r="L164" s="105"/>
    </row>
    <row r="165" spans="1:12" ht="74.5" x14ac:dyDescent="0.35">
      <c r="A165" s="26" t="s">
        <v>31</v>
      </c>
      <c r="B165" s="199" t="s">
        <v>220</v>
      </c>
      <c r="C165" s="126" t="s">
        <v>208</v>
      </c>
      <c r="D165" s="165">
        <f>'Izračuni_pred izmere'!AX219</f>
        <v>9.98</v>
      </c>
      <c r="E165" s="166"/>
      <c r="F165" s="105"/>
      <c r="G165" s="165">
        <f>E165*D165</f>
        <v>0</v>
      </c>
      <c r="I165" s="105"/>
      <c r="J165" s="105"/>
      <c r="K165" s="105"/>
      <c r="L165" s="105"/>
    </row>
    <row r="166" spans="1:12" x14ac:dyDescent="0.35">
      <c r="A166" s="26"/>
      <c r="B166" s="199"/>
      <c r="C166" s="126"/>
      <c r="D166" s="165"/>
      <c r="E166" s="166"/>
      <c r="G166" s="165"/>
      <c r="I166" s="105"/>
      <c r="J166" s="105"/>
      <c r="K166" s="105"/>
      <c r="L166" s="105"/>
    </row>
    <row r="167" spans="1:12" ht="60" x14ac:dyDescent="0.35">
      <c r="A167" s="26" t="s">
        <v>33</v>
      </c>
      <c r="B167" s="199" t="s">
        <v>221</v>
      </c>
      <c r="C167" s="126" t="s">
        <v>208</v>
      </c>
      <c r="D167" s="165">
        <f>'Izračuni_pred izmere'!AY219</f>
        <v>13.65</v>
      </c>
      <c r="E167" s="166"/>
      <c r="F167" s="105"/>
      <c r="G167" s="165">
        <f>E167*D167</f>
        <v>0</v>
      </c>
      <c r="I167" s="105"/>
      <c r="J167" s="105"/>
      <c r="K167" s="105"/>
      <c r="L167" s="105"/>
    </row>
    <row r="168" spans="1:12" x14ac:dyDescent="0.35">
      <c r="A168" s="26"/>
      <c r="B168" s="193"/>
      <c r="E168" s="155"/>
      <c r="I168" s="105"/>
      <c r="J168" s="105"/>
      <c r="K168" s="105"/>
      <c r="L168" s="105"/>
    </row>
    <row r="169" spans="1:12" ht="103.5" x14ac:dyDescent="0.35">
      <c r="A169" s="26" t="s">
        <v>71</v>
      </c>
      <c r="B169" s="199" t="s">
        <v>222</v>
      </c>
      <c r="C169" s="126" t="s">
        <v>205</v>
      </c>
      <c r="D169" s="165">
        <f>'Izračuni_pred izmere'!AZ219</f>
        <v>4.58</v>
      </c>
      <c r="E169" s="166"/>
      <c r="G169" s="165">
        <f>E169*D169</f>
        <v>0</v>
      </c>
      <c r="I169" s="105"/>
      <c r="J169" s="105"/>
      <c r="K169" s="105"/>
      <c r="L169" s="105"/>
    </row>
    <row r="170" spans="1:12" x14ac:dyDescent="0.35">
      <c r="A170" s="26"/>
      <c r="B170" s="193"/>
      <c r="E170" s="155"/>
      <c r="I170" s="105"/>
      <c r="J170" s="105"/>
      <c r="K170" s="105"/>
      <c r="L170" s="105"/>
    </row>
    <row r="171" spans="1:12" ht="74.5" x14ac:dyDescent="0.35">
      <c r="A171" s="26" t="s">
        <v>75</v>
      </c>
      <c r="B171" s="199" t="s">
        <v>220</v>
      </c>
      <c r="C171" s="126" t="s">
        <v>208</v>
      </c>
      <c r="D171" s="165">
        <f>'Izračuni_pred izmere'!BA219</f>
        <v>2.99</v>
      </c>
      <c r="E171" s="166"/>
      <c r="F171" s="105"/>
      <c r="G171" s="165">
        <f>E171*D171</f>
        <v>0</v>
      </c>
      <c r="I171" s="105"/>
      <c r="J171" s="105"/>
      <c r="K171" s="105"/>
      <c r="L171" s="105"/>
    </row>
    <row r="172" spans="1:12" x14ac:dyDescent="0.35">
      <c r="A172" s="26"/>
      <c r="B172" s="199"/>
      <c r="C172" s="126"/>
      <c r="D172" s="165"/>
      <c r="E172" s="166"/>
      <c r="G172" s="165"/>
      <c r="I172" s="105"/>
      <c r="J172" s="105"/>
      <c r="K172" s="105"/>
      <c r="L172" s="105"/>
    </row>
    <row r="173" spans="1:12" ht="60" x14ac:dyDescent="0.35">
      <c r="A173" s="26" t="s">
        <v>83</v>
      </c>
      <c r="B173" s="199" t="s">
        <v>223</v>
      </c>
      <c r="C173" s="126" t="s">
        <v>208</v>
      </c>
      <c r="D173" s="165">
        <f>'Izračuni_pred izmere'!BB219</f>
        <v>2.21</v>
      </c>
      <c r="E173" s="166"/>
      <c r="F173" s="105"/>
      <c r="G173" s="165">
        <f>E173*D173</f>
        <v>0</v>
      </c>
      <c r="I173" s="105"/>
      <c r="J173" s="105"/>
      <c r="K173" s="105"/>
      <c r="L173" s="105"/>
    </row>
    <row r="174" spans="1:12" x14ac:dyDescent="0.35">
      <c r="A174" s="26"/>
      <c r="B174" s="199"/>
      <c r="C174" s="126"/>
      <c r="D174" s="165"/>
      <c r="E174" s="166"/>
      <c r="F174" s="105"/>
      <c r="G174" s="165"/>
      <c r="I174" s="105"/>
      <c r="J174" s="105"/>
      <c r="K174" s="105"/>
      <c r="L174" s="105"/>
    </row>
    <row r="175" spans="1:12" x14ac:dyDescent="0.35">
      <c r="A175" s="23"/>
      <c r="B175" s="104" t="s">
        <v>181</v>
      </c>
      <c r="C175" s="27"/>
      <c r="D175" s="41"/>
      <c r="E175" s="236"/>
      <c r="F175" s="42">
        <f>SUM(F161:F173)</f>
        <v>0</v>
      </c>
      <c r="G175" s="42">
        <f>SUM(G161:G173)</f>
        <v>0</v>
      </c>
      <c r="I175" s="105"/>
      <c r="J175" s="105"/>
      <c r="K175" s="105"/>
      <c r="L175" s="105"/>
    </row>
    <row r="176" spans="1:12" x14ac:dyDescent="0.35">
      <c r="A176" s="23"/>
      <c r="B176" s="28"/>
      <c r="C176" s="25"/>
      <c r="D176" s="40"/>
      <c r="E176" s="234"/>
      <c r="F176" s="43"/>
      <c r="G176" s="43"/>
      <c r="I176" s="105"/>
      <c r="J176" s="105"/>
      <c r="K176" s="105"/>
      <c r="L176" s="105"/>
    </row>
    <row r="177" spans="1:12" x14ac:dyDescent="0.35">
      <c r="A177" s="23"/>
      <c r="B177" s="28"/>
      <c r="C177" s="25"/>
      <c r="D177" s="40"/>
      <c r="E177" s="234"/>
      <c r="F177" s="43"/>
      <c r="G177" s="43"/>
      <c r="I177" s="105"/>
      <c r="J177" s="105"/>
      <c r="K177" s="105"/>
      <c r="L177" s="105"/>
    </row>
    <row r="178" spans="1:12" x14ac:dyDescent="0.35">
      <c r="A178" s="23"/>
      <c r="B178" s="28"/>
      <c r="C178" s="25"/>
      <c r="D178" s="40"/>
      <c r="E178" s="234"/>
      <c r="F178" s="43"/>
      <c r="G178" s="43"/>
      <c r="I178" s="105"/>
      <c r="J178" s="105"/>
      <c r="K178" s="105"/>
      <c r="L178" s="105"/>
    </row>
    <row r="179" spans="1:12" x14ac:dyDescent="0.35">
      <c r="A179" s="23"/>
      <c r="B179" s="24"/>
      <c r="E179" s="155"/>
      <c r="I179" s="105"/>
      <c r="J179" s="105"/>
      <c r="K179" s="105"/>
      <c r="L179" s="105"/>
    </row>
    <row r="180" spans="1:12" x14ac:dyDescent="0.35">
      <c r="A180" s="23" t="s">
        <v>41</v>
      </c>
      <c r="B180" s="24" t="s">
        <v>78</v>
      </c>
      <c r="E180" s="155"/>
      <c r="I180" s="105"/>
      <c r="J180" s="105"/>
      <c r="K180" s="105"/>
      <c r="L180" s="105"/>
    </row>
    <row r="181" spans="1:12" x14ac:dyDescent="0.35">
      <c r="E181" s="155"/>
      <c r="I181" s="105"/>
      <c r="J181" s="105"/>
      <c r="K181" s="105"/>
      <c r="L181" s="105"/>
    </row>
    <row r="182" spans="1:12" ht="116" x14ac:dyDescent="0.35">
      <c r="A182" s="124">
        <v>1</v>
      </c>
      <c r="B182" s="132" t="s">
        <v>176</v>
      </c>
      <c r="C182" s="126" t="s">
        <v>205</v>
      </c>
      <c r="D182" s="58">
        <f>'Izračuni_pred izmere'!BD219</f>
        <v>9.51</v>
      </c>
      <c r="E182" s="169"/>
      <c r="G182" s="59">
        <f>E182*D182</f>
        <v>0</v>
      </c>
      <c r="I182" s="105"/>
      <c r="J182" s="105"/>
      <c r="K182" s="105"/>
      <c r="L182" s="105"/>
    </row>
    <row r="183" spans="1:12" x14ac:dyDescent="0.35">
      <c r="B183" s="132"/>
      <c r="C183" s="126"/>
      <c r="D183" s="58"/>
      <c r="E183" s="169"/>
      <c r="F183" s="59"/>
      <c r="I183" s="105"/>
      <c r="J183" s="105"/>
      <c r="K183" s="105"/>
      <c r="L183" s="105"/>
    </row>
    <row r="184" spans="1:12" ht="91.5" customHeight="1" x14ac:dyDescent="0.35">
      <c r="A184" s="124">
        <v>2</v>
      </c>
      <c r="B184" s="132" t="s">
        <v>175</v>
      </c>
      <c r="C184" s="126" t="s">
        <v>205</v>
      </c>
      <c r="D184" s="167">
        <f>(D199+D200+D201+D202+D203)*6.4</f>
        <v>57.6</v>
      </c>
      <c r="E184" s="168"/>
      <c r="F184" s="167">
        <f>E184*D184</f>
        <v>0</v>
      </c>
      <c r="I184" s="105"/>
      <c r="J184" s="105"/>
      <c r="K184" s="105"/>
      <c r="L184" s="105"/>
    </row>
    <row r="185" spans="1:12" x14ac:dyDescent="0.35">
      <c r="B185" s="132"/>
      <c r="C185" s="126"/>
      <c r="D185" s="167"/>
      <c r="E185" s="168"/>
      <c r="F185" s="167"/>
      <c r="I185" s="105"/>
      <c r="J185" s="105"/>
      <c r="K185" s="105"/>
      <c r="L185" s="105"/>
    </row>
    <row r="186" spans="1:12" ht="72.5" x14ac:dyDescent="0.35">
      <c r="A186" s="124">
        <v>3</v>
      </c>
      <c r="B186" s="132" t="s">
        <v>198</v>
      </c>
      <c r="C186" s="126" t="s">
        <v>205</v>
      </c>
      <c r="D186" s="58"/>
      <c r="E186" s="169"/>
      <c r="F186" s="58">
        <f>E186*D186</f>
        <v>0</v>
      </c>
      <c r="I186" s="105"/>
      <c r="J186" s="105"/>
      <c r="K186" s="105"/>
      <c r="L186" s="105"/>
    </row>
    <row r="187" spans="1:12" x14ac:dyDescent="0.35">
      <c r="B187" s="132"/>
      <c r="C187" s="126"/>
      <c r="D187" s="58"/>
      <c r="E187" s="169"/>
      <c r="F187" s="59"/>
      <c r="I187" s="105"/>
      <c r="J187" s="105"/>
      <c r="K187" s="105"/>
      <c r="L187" s="105"/>
    </row>
    <row r="188" spans="1:12" ht="75.75" customHeight="1" x14ac:dyDescent="0.35">
      <c r="A188" s="124">
        <v>4</v>
      </c>
      <c r="B188" s="132" t="s">
        <v>188</v>
      </c>
      <c r="C188" s="126" t="s">
        <v>224</v>
      </c>
      <c r="D188" s="58">
        <f>'Izračuni_pred izmere'!BE219</f>
        <v>42.32</v>
      </c>
      <c r="E188" s="169"/>
      <c r="G188" s="59">
        <f>E188*D188</f>
        <v>0</v>
      </c>
      <c r="H188" s="118"/>
      <c r="I188" s="105"/>
      <c r="J188" s="105"/>
      <c r="K188" s="105"/>
      <c r="L188" s="105"/>
    </row>
    <row r="189" spans="1:12" x14ac:dyDescent="0.35">
      <c r="B189" s="132"/>
      <c r="C189" s="126"/>
      <c r="D189" s="58"/>
      <c r="E189" s="169"/>
      <c r="G189" s="59"/>
      <c r="H189" s="118"/>
      <c r="I189" s="105"/>
      <c r="J189" s="105"/>
      <c r="K189" s="105"/>
      <c r="L189" s="105"/>
    </row>
    <row r="190" spans="1:12" ht="58" x14ac:dyDescent="0.35">
      <c r="A190" s="124">
        <v>5</v>
      </c>
      <c r="B190" s="132" t="s">
        <v>197</v>
      </c>
      <c r="C190" s="126" t="s">
        <v>208</v>
      </c>
      <c r="D190" s="58">
        <f>'Izračuni_pred izmere'!BF219</f>
        <v>18.3</v>
      </c>
      <c r="E190" s="169"/>
      <c r="G190" s="59">
        <f>E190*D190</f>
        <v>0</v>
      </c>
      <c r="H190" s="118"/>
      <c r="I190" s="105"/>
      <c r="J190" s="105"/>
      <c r="K190" s="105"/>
      <c r="L190" s="105"/>
    </row>
    <row r="191" spans="1:12" x14ac:dyDescent="0.35">
      <c r="B191" s="132"/>
      <c r="C191" s="126"/>
      <c r="D191" s="58"/>
      <c r="E191" s="169"/>
      <c r="G191" s="59"/>
      <c r="H191" s="118"/>
      <c r="I191" s="105"/>
      <c r="J191" s="105"/>
      <c r="K191" s="105"/>
      <c r="L191" s="105"/>
    </row>
    <row r="192" spans="1:12" x14ac:dyDescent="0.35">
      <c r="B192" s="104" t="s">
        <v>79</v>
      </c>
      <c r="C192" s="27"/>
      <c r="D192" s="41"/>
      <c r="E192" s="236"/>
      <c r="F192" s="42">
        <f>SUM(F181:F191)</f>
        <v>0</v>
      </c>
      <c r="G192" s="42">
        <f>SUM(G181:G191)</f>
        <v>0</v>
      </c>
      <c r="I192" s="105"/>
      <c r="J192" s="105"/>
      <c r="K192" s="105"/>
      <c r="L192" s="105"/>
    </row>
    <row r="193" spans="1:12" x14ac:dyDescent="0.35">
      <c r="I193" s="105"/>
      <c r="J193" s="105"/>
      <c r="K193" s="105"/>
      <c r="L193" s="105"/>
    </row>
    <row r="194" spans="1:12" x14ac:dyDescent="0.35">
      <c r="A194" s="23" t="s">
        <v>42</v>
      </c>
      <c r="B194" s="24" t="s">
        <v>37</v>
      </c>
      <c r="C194" s="25"/>
      <c r="D194" s="40"/>
      <c r="E194" s="40"/>
      <c r="F194" s="40"/>
      <c r="I194" s="105"/>
      <c r="J194" s="105"/>
      <c r="K194" s="105"/>
      <c r="L194" s="105"/>
    </row>
    <row r="195" spans="1:12" x14ac:dyDescent="0.35">
      <c r="A195" s="23"/>
      <c r="B195" s="24"/>
      <c r="C195" s="25"/>
      <c r="D195" s="40"/>
      <c r="E195" s="40"/>
      <c r="F195" s="40"/>
      <c r="I195" s="105"/>
      <c r="J195" s="105"/>
      <c r="K195" s="105"/>
      <c r="L195" s="105"/>
    </row>
    <row r="196" spans="1:12" ht="196.5" customHeight="1" x14ac:dyDescent="0.35">
      <c r="A196" s="23"/>
      <c r="B196" s="248" t="s">
        <v>144</v>
      </c>
      <c r="C196" s="249"/>
      <c r="D196" s="249"/>
      <c r="E196" s="249"/>
      <c r="F196" s="249"/>
      <c r="H196" s="118"/>
      <c r="I196" s="105"/>
      <c r="J196" s="105"/>
      <c r="K196" s="105"/>
      <c r="L196" s="105"/>
    </row>
    <row r="197" spans="1:12" x14ac:dyDescent="0.35">
      <c r="A197" s="23"/>
      <c r="B197" s="193"/>
      <c r="C197" s="194"/>
      <c r="D197" s="194"/>
      <c r="E197" s="194"/>
      <c r="F197" s="194"/>
      <c r="I197" s="105"/>
      <c r="J197" s="105"/>
      <c r="K197" s="105"/>
      <c r="L197" s="105"/>
    </row>
    <row r="198" spans="1:12" ht="60" x14ac:dyDescent="0.35">
      <c r="A198" s="26" t="s">
        <v>4</v>
      </c>
      <c r="B198" s="130" t="s">
        <v>225</v>
      </c>
      <c r="C198" s="131"/>
      <c r="D198" s="103"/>
      <c r="E198" s="57"/>
      <c r="F198" s="57"/>
      <c r="I198" s="105"/>
      <c r="J198" s="105"/>
      <c r="K198" s="105"/>
      <c r="L198" s="105"/>
    </row>
    <row r="199" spans="1:12" ht="45.5" x14ac:dyDescent="0.35">
      <c r="A199" s="26"/>
      <c r="B199" s="130" t="s">
        <v>226</v>
      </c>
      <c r="C199" s="131" t="s">
        <v>8</v>
      </c>
      <c r="D199" s="103">
        <f>4</f>
        <v>4</v>
      </c>
      <c r="E199" s="237"/>
      <c r="F199" s="57">
        <f>E199*D199</f>
        <v>0</v>
      </c>
      <c r="I199" s="105"/>
      <c r="J199" s="105"/>
      <c r="K199" s="105"/>
      <c r="L199" s="105"/>
    </row>
    <row r="200" spans="1:12" ht="45.5" x14ac:dyDescent="0.35">
      <c r="A200" s="26"/>
      <c r="B200" s="130" t="s">
        <v>227</v>
      </c>
      <c r="C200" s="131" t="s">
        <v>8</v>
      </c>
      <c r="D200" s="103">
        <v>2</v>
      </c>
      <c r="E200" s="237"/>
      <c r="F200" s="57">
        <f>E200*D200</f>
        <v>0</v>
      </c>
      <c r="I200" s="105"/>
      <c r="J200" s="105"/>
      <c r="K200" s="105"/>
      <c r="L200" s="105"/>
    </row>
    <row r="201" spans="1:12" ht="45.5" x14ac:dyDescent="0.35">
      <c r="A201" s="26"/>
      <c r="B201" s="130" t="s">
        <v>228</v>
      </c>
      <c r="C201" s="131" t="s">
        <v>8</v>
      </c>
      <c r="D201" s="103">
        <v>1</v>
      </c>
      <c r="E201" s="237"/>
      <c r="F201" s="57">
        <f>E201*D201</f>
        <v>0</v>
      </c>
      <c r="I201" s="105"/>
      <c r="J201" s="105"/>
      <c r="K201" s="105"/>
      <c r="L201" s="105"/>
    </row>
    <row r="202" spans="1:12" ht="45.5" x14ac:dyDescent="0.35">
      <c r="A202" s="26"/>
      <c r="B202" s="130" t="s">
        <v>229</v>
      </c>
      <c r="C202" s="131" t="s">
        <v>8</v>
      </c>
      <c r="D202" s="103">
        <v>1</v>
      </c>
      <c r="E202" s="237"/>
      <c r="F202" s="57">
        <f>E202*D202</f>
        <v>0</v>
      </c>
      <c r="I202" s="105"/>
      <c r="J202" s="105"/>
      <c r="K202" s="105"/>
      <c r="L202" s="105"/>
    </row>
    <row r="203" spans="1:12" ht="45.5" x14ac:dyDescent="0.35">
      <c r="A203" s="26"/>
      <c r="B203" s="130" t="s">
        <v>230</v>
      </c>
      <c r="C203" s="131" t="s">
        <v>8</v>
      </c>
      <c r="D203" s="103">
        <v>1</v>
      </c>
      <c r="E203" s="237"/>
      <c r="F203" s="57">
        <f>E203*D203</f>
        <v>0</v>
      </c>
      <c r="I203" s="105"/>
      <c r="J203" s="105"/>
      <c r="K203" s="105"/>
      <c r="L203" s="105"/>
    </row>
    <row r="204" spans="1:12" x14ac:dyDescent="0.35">
      <c r="A204" s="26"/>
      <c r="B204" s="130"/>
      <c r="C204" s="131"/>
      <c r="D204" s="103"/>
      <c r="E204" s="237"/>
      <c r="F204" s="57"/>
      <c r="I204" s="105"/>
      <c r="J204" s="105"/>
      <c r="K204" s="105"/>
      <c r="L204" s="105"/>
    </row>
    <row r="205" spans="1:12" ht="43.5" x14ac:dyDescent="0.35">
      <c r="A205" s="26" t="s">
        <v>31</v>
      </c>
      <c r="B205" s="135" t="s">
        <v>145</v>
      </c>
      <c r="C205" s="131"/>
      <c r="D205" s="103"/>
      <c r="E205" s="237"/>
      <c r="F205" s="57"/>
      <c r="I205" s="105"/>
      <c r="J205" s="105"/>
      <c r="K205" s="105"/>
      <c r="L205" s="105"/>
    </row>
    <row r="206" spans="1:12" ht="16.5" x14ac:dyDescent="0.35">
      <c r="A206" s="26"/>
      <c r="B206" s="130" t="s">
        <v>231</v>
      </c>
      <c r="C206" s="131" t="s">
        <v>8</v>
      </c>
      <c r="D206" s="200">
        <v>4</v>
      </c>
      <c r="E206" s="238"/>
      <c r="F206" s="200">
        <f>+E206*D206</f>
        <v>0</v>
      </c>
      <c r="I206" s="105"/>
      <c r="J206" s="105"/>
      <c r="K206" s="105"/>
      <c r="L206" s="105"/>
    </row>
    <row r="207" spans="1:12" ht="16.5" x14ac:dyDescent="0.35">
      <c r="A207" s="26"/>
      <c r="B207" s="130" t="s">
        <v>232</v>
      </c>
      <c r="C207" s="131" t="s">
        <v>8</v>
      </c>
      <c r="D207" s="103">
        <v>2</v>
      </c>
      <c r="E207" s="237"/>
      <c r="F207" s="57">
        <f>E207*D207</f>
        <v>0</v>
      </c>
      <c r="I207" s="105"/>
      <c r="J207" s="105"/>
      <c r="K207" s="105"/>
      <c r="L207" s="105"/>
    </row>
    <row r="208" spans="1:12" ht="16.5" x14ac:dyDescent="0.35">
      <c r="A208" s="26"/>
      <c r="B208" s="130" t="s">
        <v>233</v>
      </c>
      <c r="C208" s="131" t="s">
        <v>8</v>
      </c>
      <c r="D208" s="103">
        <v>1</v>
      </c>
      <c r="E208" s="237"/>
      <c r="F208" s="57">
        <f>E208*D208</f>
        <v>0</v>
      </c>
      <c r="I208" s="105"/>
      <c r="J208" s="105"/>
      <c r="K208" s="105"/>
      <c r="L208" s="105"/>
    </row>
    <row r="209" spans="1:12" ht="16.5" x14ac:dyDescent="0.35">
      <c r="A209" s="26"/>
      <c r="B209" s="130" t="s">
        <v>234</v>
      </c>
      <c r="C209" s="131" t="s">
        <v>8</v>
      </c>
      <c r="D209" s="103">
        <v>1</v>
      </c>
      <c r="E209" s="237"/>
      <c r="F209" s="57">
        <f>E209*D209</f>
        <v>0</v>
      </c>
      <c r="I209" s="105"/>
      <c r="J209" s="105"/>
      <c r="K209" s="105"/>
      <c r="L209" s="105"/>
    </row>
    <row r="210" spans="1:12" ht="16.5" x14ac:dyDescent="0.35">
      <c r="A210" s="26"/>
      <c r="B210" s="130" t="s">
        <v>235</v>
      </c>
      <c r="C210" s="131" t="s">
        <v>8</v>
      </c>
      <c r="D210" s="103">
        <v>1</v>
      </c>
      <c r="E210" s="237"/>
      <c r="F210" s="57">
        <f>E210*D210</f>
        <v>0</v>
      </c>
      <c r="I210" s="105"/>
      <c r="J210" s="105"/>
      <c r="K210" s="105"/>
      <c r="L210" s="105"/>
    </row>
    <row r="211" spans="1:12" x14ac:dyDescent="0.35">
      <c r="A211" s="26"/>
      <c r="B211" s="130"/>
      <c r="C211" s="131"/>
      <c r="D211" s="103"/>
      <c r="E211" s="237"/>
      <c r="F211" s="57"/>
      <c r="I211" s="105"/>
      <c r="J211" s="105"/>
      <c r="K211" s="105"/>
      <c r="L211" s="105"/>
    </row>
    <row r="212" spans="1:12" ht="58" x14ac:dyDescent="0.35">
      <c r="A212" s="26" t="s">
        <v>33</v>
      </c>
      <c r="B212" s="130" t="s">
        <v>174</v>
      </c>
      <c r="C212" s="131"/>
      <c r="D212" s="103"/>
      <c r="E212" s="237"/>
      <c r="F212" s="57"/>
      <c r="I212" s="105"/>
      <c r="J212" s="105"/>
      <c r="K212" s="105"/>
      <c r="L212" s="105"/>
    </row>
    <row r="213" spans="1:12" ht="31" x14ac:dyDescent="0.35">
      <c r="A213" s="26"/>
      <c r="B213" s="130" t="s">
        <v>236</v>
      </c>
      <c r="C213" s="131" t="s">
        <v>8</v>
      </c>
      <c r="D213" s="170">
        <v>1</v>
      </c>
      <c r="E213" s="171"/>
      <c r="F213" s="170">
        <f>E213*D213</f>
        <v>0</v>
      </c>
      <c r="I213" s="105"/>
      <c r="J213" s="105"/>
      <c r="K213" s="105"/>
      <c r="L213" s="105"/>
    </row>
    <row r="214" spans="1:12" x14ac:dyDescent="0.35">
      <c r="A214" s="26"/>
      <c r="B214" s="127"/>
      <c r="C214" s="126"/>
      <c r="D214" s="32"/>
      <c r="E214" s="163"/>
      <c r="F214" s="32">
        <f>D214*E214</f>
        <v>0</v>
      </c>
      <c r="I214" s="105"/>
      <c r="J214" s="105"/>
      <c r="K214" s="105"/>
      <c r="L214" s="105"/>
    </row>
    <row r="215" spans="1:12" x14ac:dyDescent="0.35">
      <c r="B215" s="104" t="s">
        <v>38</v>
      </c>
      <c r="C215" s="27"/>
      <c r="D215" s="41"/>
      <c r="E215" s="236"/>
      <c r="F215" s="42">
        <f>SUM(F198:F214)</f>
        <v>0</v>
      </c>
      <c r="G215" s="42">
        <f>SUM(G198:G214)</f>
        <v>0</v>
      </c>
      <c r="I215" s="105"/>
      <c r="J215" s="105"/>
      <c r="K215" s="105"/>
      <c r="L215" s="105"/>
    </row>
    <row r="216" spans="1:12" x14ac:dyDescent="0.35">
      <c r="E216" s="155"/>
    </row>
    <row r="217" spans="1:12" x14ac:dyDescent="0.35">
      <c r="A217" s="23" t="s">
        <v>180</v>
      </c>
      <c r="B217" s="24" t="s">
        <v>25</v>
      </c>
      <c r="E217" s="155"/>
      <c r="I217" s="105"/>
      <c r="J217" s="105"/>
      <c r="K217" s="105"/>
      <c r="L217" s="105"/>
    </row>
    <row r="218" spans="1:12" x14ac:dyDescent="0.35">
      <c r="E218" s="155"/>
    </row>
    <row r="219" spans="1:12" ht="58" x14ac:dyDescent="0.35">
      <c r="A219" s="124">
        <v>1</v>
      </c>
      <c r="B219" s="128" t="s">
        <v>138</v>
      </c>
      <c r="C219" s="126" t="s">
        <v>8</v>
      </c>
      <c r="D219" s="32">
        <v>2</v>
      </c>
      <c r="E219" s="163"/>
      <c r="G219" s="32">
        <f>E219*D219</f>
        <v>0</v>
      </c>
      <c r="I219" s="105"/>
      <c r="J219" s="105"/>
      <c r="K219" s="105"/>
      <c r="L219" s="105"/>
    </row>
    <row r="220" spans="1:12" x14ac:dyDescent="0.35">
      <c r="E220" s="155"/>
    </row>
    <row r="221" spans="1:12" ht="145" x14ac:dyDescent="0.35">
      <c r="A221" s="124">
        <v>2</v>
      </c>
      <c r="B221" s="128" t="s">
        <v>121</v>
      </c>
      <c r="C221" s="126" t="s">
        <v>208</v>
      </c>
      <c r="D221" s="32">
        <v>8.6</v>
      </c>
      <c r="E221" s="163"/>
      <c r="F221" s="32">
        <f>D221*E221</f>
        <v>0</v>
      </c>
      <c r="I221" s="105"/>
      <c r="J221" s="105"/>
      <c r="K221" s="105"/>
      <c r="L221" s="105"/>
    </row>
    <row r="222" spans="1:12" x14ac:dyDescent="0.35">
      <c r="B222" s="128"/>
      <c r="C222" s="126"/>
      <c r="D222" s="32"/>
      <c r="E222" s="163"/>
      <c r="F222" s="32"/>
      <c r="I222" s="105"/>
      <c r="J222" s="105"/>
      <c r="K222" s="105"/>
      <c r="L222" s="105"/>
    </row>
    <row r="223" spans="1:12" ht="29" x14ac:dyDescent="0.35">
      <c r="A223" s="124">
        <v>3</v>
      </c>
      <c r="B223" s="128" t="s">
        <v>101</v>
      </c>
      <c r="C223" s="126" t="s">
        <v>8</v>
      </c>
      <c r="D223" s="32">
        <v>1</v>
      </c>
      <c r="E223" s="163"/>
      <c r="G223" s="32">
        <f>E223*D223</f>
        <v>0</v>
      </c>
      <c r="I223" s="105"/>
      <c r="J223" s="105"/>
      <c r="K223" s="105"/>
      <c r="L223" s="105"/>
    </row>
    <row r="224" spans="1:12" x14ac:dyDescent="0.35">
      <c r="B224" s="128"/>
      <c r="C224" s="126"/>
      <c r="D224" s="32"/>
      <c r="E224" s="163"/>
      <c r="F224" s="32"/>
      <c r="I224" s="105"/>
      <c r="J224" s="105"/>
      <c r="K224" s="105"/>
      <c r="L224" s="105"/>
    </row>
    <row r="225" spans="1:12" ht="33" customHeight="1" x14ac:dyDescent="0.35">
      <c r="A225" s="124">
        <v>4</v>
      </c>
      <c r="B225" s="127" t="s">
        <v>103</v>
      </c>
      <c r="C225" s="126" t="s">
        <v>8</v>
      </c>
      <c r="D225" s="32">
        <v>2</v>
      </c>
      <c r="E225" s="163"/>
      <c r="F225" s="32">
        <f>E225*D225</f>
        <v>0</v>
      </c>
      <c r="I225" s="105"/>
      <c r="J225" s="105"/>
      <c r="K225" s="105"/>
      <c r="L225" s="105"/>
    </row>
    <row r="226" spans="1:12" x14ac:dyDescent="0.35">
      <c r="B226" s="127"/>
      <c r="C226" s="126"/>
      <c r="D226" s="32"/>
      <c r="E226" s="163"/>
      <c r="F226" s="32"/>
      <c r="I226" s="105"/>
      <c r="J226" s="105"/>
      <c r="K226" s="105"/>
      <c r="L226" s="105"/>
    </row>
    <row r="227" spans="1:12" ht="58" x14ac:dyDescent="0.35">
      <c r="A227" s="124">
        <v>5</v>
      </c>
      <c r="B227" s="127" t="s">
        <v>106</v>
      </c>
      <c r="C227" s="126" t="s">
        <v>208</v>
      </c>
      <c r="D227" s="32">
        <f>2.8*2</f>
        <v>5.6</v>
      </c>
      <c r="E227" s="163"/>
      <c r="G227" s="32">
        <f>D227*E227</f>
        <v>0</v>
      </c>
      <c r="I227" s="105"/>
      <c r="J227" s="105"/>
      <c r="K227" s="105"/>
      <c r="L227" s="105"/>
    </row>
    <row r="228" spans="1:12" x14ac:dyDescent="0.35">
      <c r="B228" s="128"/>
      <c r="C228" s="126"/>
      <c r="D228" s="32"/>
      <c r="E228" s="163"/>
      <c r="F228" s="32"/>
      <c r="I228" s="105"/>
      <c r="J228" s="105"/>
      <c r="K228" s="105"/>
      <c r="L228" s="105"/>
    </row>
    <row r="229" spans="1:12" ht="58" x14ac:dyDescent="0.35">
      <c r="A229" s="124">
        <v>6</v>
      </c>
      <c r="B229" s="127" t="s">
        <v>136</v>
      </c>
      <c r="C229" s="126" t="s">
        <v>8</v>
      </c>
      <c r="D229" s="47">
        <v>1</v>
      </c>
      <c r="E229" s="154"/>
      <c r="F229" s="47">
        <f>D229*E229</f>
        <v>0</v>
      </c>
      <c r="I229" s="105"/>
      <c r="J229" s="105"/>
      <c r="K229" s="105"/>
      <c r="L229" s="105"/>
    </row>
    <row r="230" spans="1:12" x14ac:dyDescent="0.35">
      <c r="B230" s="128"/>
      <c r="C230" s="126"/>
      <c r="D230" s="58"/>
      <c r="E230" s="169"/>
      <c r="F230" s="59"/>
      <c r="I230" s="105"/>
      <c r="J230" s="105"/>
      <c r="K230" s="105"/>
      <c r="L230" s="105"/>
    </row>
    <row r="231" spans="1:12" ht="58" x14ac:dyDescent="0.35">
      <c r="A231" s="124">
        <v>7</v>
      </c>
      <c r="B231" s="135" t="s">
        <v>237</v>
      </c>
      <c r="C231" s="201" t="s">
        <v>208</v>
      </c>
      <c r="D231" s="172">
        <f>2.5+7.2</f>
        <v>9.6999999999999993</v>
      </c>
      <c r="E231" s="239"/>
      <c r="F231" s="173">
        <f>E231*D231</f>
        <v>0</v>
      </c>
      <c r="I231" s="105"/>
      <c r="J231" s="105"/>
      <c r="K231" s="105"/>
      <c r="L231" s="105"/>
    </row>
    <row r="232" spans="1:12" x14ac:dyDescent="0.35">
      <c r="B232" s="128"/>
      <c r="C232" s="126"/>
      <c r="D232" s="32"/>
      <c r="E232" s="163"/>
      <c r="F232" s="32"/>
      <c r="I232" s="105"/>
      <c r="J232" s="105"/>
      <c r="K232" s="105"/>
      <c r="L232" s="105"/>
    </row>
    <row r="233" spans="1:12" ht="43.5" x14ac:dyDescent="0.35">
      <c r="A233" s="124">
        <v>8</v>
      </c>
      <c r="B233" s="128" t="s">
        <v>137</v>
      </c>
      <c r="C233" s="126" t="s">
        <v>8</v>
      </c>
      <c r="D233" s="32">
        <v>1</v>
      </c>
      <c r="E233" s="163"/>
      <c r="G233" s="32">
        <f>E233*D233</f>
        <v>0</v>
      </c>
      <c r="I233" s="105"/>
      <c r="J233" s="105"/>
      <c r="K233" s="105"/>
      <c r="L233" s="105"/>
    </row>
    <row r="234" spans="1:12" x14ac:dyDescent="0.35">
      <c r="B234" s="128"/>
      <c r="C234" s="126"/>
      <c r="D234" s="32"/>
      <c r="E234" s="163"/>
      <c r="F234" s="32"/>
      <c r="I234" s="105"/>
      <c r="J234" s="105"/>
      <c r="K234" s="105"/>
      <c r="L234" s="105"/>
    </row>
    <row r="235" spans="1:12" ht="58" x14ac:dyDescent="0.35">
      <c r="A235" s="124">
        <v>9</v>
      </c>
      <c r="B235" s="128" t="s">
        <v>139</v>
      </c>
      <c r="C235" s="126" t="s">
        <v>8</v>
      </c>
      <c r="D235" s="32">
        <v>1</v>
      </c>
      <c r="E235" s="163"/>
      <c r="F235" s="32">
        <f>E235*D235</f>
        <v>0</v>
      </c>
      <c r="I235" s="105"/>
      <c r="J235" s="105"/>
      <c r="K235" s="105"/>
      <c r="L235" s="105"/>
    </row>
    <row r="236" spans="1:12" x14ac:dyDescent="0.35">
      <c r="B236" s="128"/>
      <c r="C236" s="126"/>
      <c r="D236" s="32"/>
      <c r="E236" s="163"/>
      <c r="F236" s="32"/>
      <c r="I236" s="105"/>
      <c r="J236" s="105"/>
      <c r="K236" s="105"/>
      <c r="L236" s="105"/>
    </row>
    <row r="237" spans="1:12" ht="72.5" x14ac:dyDescent="0.35">
      <c r="A237" s="124">
        <v>10</v>
      </c>
      <c r="B237" s="128" t="s">
        <v>156</v>
      </c>
      <c r="C237" s="126" t="s">
        <v>8</v>
      </c>
      <c r="D237" s="32">
        <f>'Izračuni_pred izmere'!BI219</f>
        <v>15</v>
      </c>
      <c r="E237" s="163"/>
      <c r="F237" s="32">
        <f>E237*D237</f>
        <v>0</v>
      </c>
      <c r="I237" s="105"/>
      <c r="J237" s="105"/>
      <c r="K237" s="105"/>
      <c r="L237" s="105"/>
    </row>
    <row r="238" spans="1:12" x14ac:dyDescent="0.35">
      <c r="B238" s="128"/>
      <c r="C238" s="126"/>
      <c r="D238" s="32"/>
      <c r="E238" s="163"/>
      <c r="F238" s="32"/>
      <c r="I238" s="105"/>
      <c r="J238" s="105"/>
      <c r="K238" s="105"/>
      <c r="L238" s="105"/>
    </row>
    <row r="239" spans="1:12" ht="58" x14ac:dyDescent="0.35">
      <c r="A239" s="124">
        <v>11</v>
      </c>
      <c r="B239" s="128" t="s">
        <v>157</v>
      </c>
      <c r="C239" s="126" t="s">
        <v>8</v>
      </c>
      <c r="D239" s="32">
        <v>4</v>
      </c>
      <c r="E239" s="163"/>
      <c r="F239" s="32">
        <f>E239*D239</f>
        <v>0</v>
      </c>
      <c r="I239" s="105"/>
      <c r="J239" s="105"/>
      <c r="K239" s="105"/>
      <c r="L239" s="105"/>
    </row>
    <row r="240" spans="1:12" x14ac:dyDescent="0.35">
      <c r="B240" s="128"/>
      <c r="C240" s="126"/>
      <c r="D240" s="32"/>
      <c r="E240" s="163"/>
      <c r="F240" s="32"/>
      <c r="I240" s="105"/>
      <c r="J240" s="105"/>
      <c r="K240" s="105"/>
      <c r="L240" s="105"/>
    </row>
    <row r="241" spans="1:12" ht="48" customHeight="1" x14ac:dyDescent="0.35">
      <c r="A241" s="124">
        <v>12</v>
      </c>
      <c r="B241" s="128" t="s">
        <v>158</v>
      </c>
      <c r="C241" s="126" t="s">
        <v>8</v>
      </c>
      <c r="D241" s="32">
        <v>1</v>
      </c>
      <c r="E241" s="163"/>
      <c r="F241" s="105"/>
      <c r="G241" s="32">
        <f>E241*D241</f>
        <v>0</v>
      </c>
      <c r="I241" s="105"/>
      <c r="J241" s="105"/>
      <c r="K241" s="105"/>
      <c r="L241" s="105"/>
    </row>
    <row r="242" spans="1:12" x14ac:dyDescent="0.35">
      <c r="B242" s="128"/>
      <c r="C242" s="126"/>
      <c r="D242" s="32"/>
      <c r="E242" s="163"/>
      <c r="F242" s="32"/>
      <c r="I242" s="105"/>
      <c r="J242" s="105"/>
      <c r="K242" s="105"/>
      <c r="L242" s="105"/>
    </row>
    <row r="243" spans="1:12" x14ac:dyDescent="0.35">
      <c r="B243" s="104" t="s">
        <v>26</v>
      </c>
      <c r="C243" s="27"/>
      <c r="D243" s="41"/>
      <c r="E243" s="236"/>
      <c r="F243" s="42">
        <f>SUM(F217:F242)</f>
        <v>0</v>
      </c>
      <c r="G243" s="42">
        <f>SUM(G217:G242)</f>
        <v>0</v>
      </c>
      <c r="I243" s="105"/>
      <c r="J243" s="105"/>
      <c r="K243" s="105"/>
      <c r="L243" s="105"/>
    </row>
    <row r="244" spans="1:12" x14ac:dyDescent="0.35">
      <c r="E244" s="155"/>
    </row>
    <row r="245" spans="1:12" x14ac:dyDescent="0.35">
      <c r="A245" s="189" t="s">
        <v>252</v>
      </c>
      <c r="B245" s="108" t="s">
        <v>253</v>
      </c>
      <c r="E245" s="155"/>
    </row>
    <row r="246" spans="1:12" x14ac:dyDescent="0.35">
      <c r="E246" s="155"/>
    </row>
    <row r="247" spans="1:12" x14ac:dyDescent="0.35">
      <c r="A247" s="124">
        <v>1</v>
      </c>
      <c r="B247" s="202" t="s">
        <v>254</v>
      </c>
      <c r="C247" s="203"/>
      <c r="D247" s="203"/>
      <c r="E247" s="240"/>
      <c r="F247" s="204"/>
    </row>
    <row r="248" spans="1:12" ht="43.5" x14ac:dyDescent="0.35">
      <c r="B248" s="205" t="s">
        <v>255</v>
      </c>
      <c r="C248" s="203"/>
      <c r="D248" s="203"/>
      <c r="E248" s="240"/>
      <c r="F248" s="204"/>
    </row>
    <row r="249" spans="1:12" ht="29" x14ac:dyDescent="0.35">
      <c r="B249" s="206" t="s">
        <v>256</v>
      </c>
      <c r="C249" s="203"/>
      <c r="D249" s="198"/>
      <c r="E249" s="228"/>
      <c r="F249" s="197"/>
    </row>
    <row r="250" spans="1:12" x14ac:dyDescent="0.35">
      <c r="B250" s="206" t="s">
        <v>257</v>
      </c>
      <c r="C250" s="203"/>
      <c r="D250" s="198"/>
      <c r="E250" s="228"/>
      <c r="F250" s="197"/>
    </row>
    <row r="251" spans="1:12" x14ac:dyDescent="0.35">
      <c r="B251" s="206" t="s">
        <v>258</v>
      </c>
      <c r="C251" s="203"/>
      <c r="D251" s="198"/>
      <c r="E251" s="228"/>
      <c r="F251" s="197"/>
    </row>
    <row r="252" spans="1:12" ht="29" x14ac:dyDescent="0.35">
      <c r="B252" s="206" t="s">
        <v>259</v>
      </c>
      <c r="C252" s="203"/>
      <c r="D252" s="198"/>
      <c r="E252" s="228"/>
      <c r="F252" s="197"/>
    </row>
    <row r="253" spans="1:12" ht="29" x14ac:dyDescent="0.35">
      <c r="B253" s="206" t="s">
        <v>260</v>
      </c>
      <c r="C253" s="203"/>
      <c r="D253" s="198"/>
      <c r="E253" s="228"/>
      <c r="F253" s="197"/>
    </row>
    <row r="254" spans="1:12" x14ac:dyDescent="0.35">
      <c r="B254" s="207" t="s">
        <v>261</v>
      </c>
      <c r="C254" s="157"/>
      <c r="D254" s="208"/>
      <c r="E254" s="228"/>
      <c r="F254" s="197"/>
    </row>
    <row r="255" spans="1:12" x14ac:dyDescent="0.35">
      <c r="B255" s="207" t="s">
        <v>262</v>
      </c>
      <c r="C255" s="157"/>
      <c r="D255" s="208"/>
      <c r="E255" s="228"/>
      <c r="F255" s="197"/>
    </row>
    <row r="256" spans="1:12" x14ac:dyDescent="0.35">
      <c r="B256" s="205"/>
      <c r="C256" s="209"/>
      <c r="D256" s="210"/>
      <c r="E256" s="241"/>
      <c r="F256" s="211"/>
    </row>
    <row r="257" spans="1:6" x14ac:dyDescent="0.35">
      <c r="B257" s="205" t="s">
        <v>263</v>
      </c>
      <c r="C257" s="209"/>
      <c r="D257" s="210"/>
      <c r="E257" s="241"/>
      <c r="F257" s="211"/>
    </row>
    <row r="258" spans="1:6" x14ac:dyDescent="0.35">
      <c r="B258" s="212" t="s">
        <v>264</v>
      </c>
      <c r="C258" s="209"/>
      <c r="D258" s="210"/>
      <c r="E258" s="241"/>
      <c r="F258" s="211"/>
    </row>
    <row r="259" spans="1:6" x14ac:dyDescent="0.35">
      <c r="B259" s="212" t="s">
        <v>265</v>
      </c>
      <c r="C259" s="209"/>
      <c r="D259" s="210"/>
      <c r="E259" s="241"/>
      <c r="F259" s="211"/>
    </row>
    <row r="260" spans="1:6" x14ac:dyDescent="0.35">
      <c r="B260" s="212" t="s">
        <v>266</v>
      </c>
      <c r="C260" s="209"/>
      <c r="D260" s="210"/>
      <c r="E260" s="241"/>
      <c r="F260" s="211"/>
    </row>
    <row r="261" spans="1:6" x14ac:dyDescent="0.35">
      <c r="B261" s="212" t="s">
        <v>267</v>
      </c>
      <c r="C261" s="209"/>
      <c r="D261" s="210"/>
      <c r="E261" s="241"/>
      <c r="F261" s="211"/>
    </row>
    <row r="262" spans="1:6" x14ac:dyDescent="0.35">
      <c r="B262" s="212" t="s">
        <v>268</v>
      </c>
      <c r="C262" s="209"/>
      <c r="D262" s="210"/>
      <c r="E262" s="241"/>
      <c r="F262" s="211"/>
    </row>
    <row r="263" spans="1:6" x14ac:dyDescent="0.35">
      <c r="B263" s="212" t="s">
        <v>269</v>
      </c>
      <c r="C263" s="209"/>
      <c r="D263" s="210"/>
      <c r="E263" s="241"/>
      <c r="F263" s="211"/>
    </row>
    <row r="264" spans="1:6" ht="29" x14ac:dyDescent="0.35">
      <c r="B264" s="212" t="s">
        <v>270</v>
      </c>
      <c r="C264" s="209"/>
      <c r="D264" s="210"/>
      <c r="E264" s="241"/>
      <c r="F264" s="211"/>
    </row>
    <row r="265" spans="1:6" x14ac:dyDescent="0.35">
      <c r="B265" s="212" t="s">
        <v>288</v>
      </c>
      <c r="C265" s="209"/>
      <c r="D265" s="210"/>
      <c r="E265" s="241"/>
      <c r="F265" s="211"/>
    </row>
    <row r="266" spans="1:6" x14ac:dyDescent="0.35">
      <c r="B266" s="212" t="s">
        <v>271</v>
      </c>
      <c r="C266" s="157" t="s">
        <v>81</v>
      </c>
      <c r="D266" s="208">
        <v>2</v>
      </c>
      <c r="E266" s="228"/>
      <c r="F266" s="197">
        <f>D266*E266</f>
        <v>0</v>
      </c>
    </row>
    <row r="267" spans="1:6" x14ac:dyDescent="0.35">
      <c r="B267" s="213"/>
      <c r="C267" s="214"/>
      <c r="D267" s="215"/>
      <c r="E267" s="242"/>
      <c r="F267" s="216"/>
    </row>
    <row r="268" spans="1:6" x14ac:dyDescent="0.35">
      <c r="A268" s="124">
        <v>2</v>
      </c>
      <c r="B268" s="202" t="s">
        <v>272</v>
      </c>
      <c r="C268" s="203"/>
      <c r="D268" s="198"/>
      <c r="E268" s="228"/>
      <c r="F268" s="197"/>
    </row>
    <row r="269" spans="1:6" ht="43.5" x14ac:dyDescent="0.35">
      <c r="B269" s="205" t="s">
        <v>255</v>
      </c>
      <c r="C269" s="203"/>
      <c r="D269" s="198"/>
      <c r="E269" s="228"/>
      <c r="F269" s="197"/>
    </row>
    <row r="270" spans="1:6" ht="29" x14ac:dyDescent="0.35">
      <c r="B270" s="206" t="s">
        <v>256</v>
      </c>
      <c r="C270" s="203"/>
      <c r="D270" s="198"/>
      <c r="E270" s="228"/>
      <c r="F270" s="197"/>
    </row>
    <row r="271" spans="1:6" x14ac:dyDescent="0.35">
      <c r="B271" s="206" t="s">
        <v>257</v>
      </c>
      <c r="C271" s="203"/>
      <c r="D271" s="198"/>
      <c r="E271" s="228"/>
      <c r="F271" s="197"/>
    </row>
    <row r="272" spans="1:6" x14ac:dyDescent="0.35">
      <c r="B272" s="206" t="s">
        <v>273</v>
      </c>
      <c r="C272" s="203"/>
      <c r="D272" s="198"/>
      <c r="E272" s="228"/>
      <c r="F272" s="197"/>
    </row>
    <row r="273" spans="2:6" ht="29" x14ac:dyDescent="0.35">
      <c r="B273" s="206" t="s">
        <v>274</v>
      </c>
      <c r="C273" s="203"/>
      <c r="D273" s="198"/>
      <c r="E273" s="228"/>
      <c r="F273" s="197"/>
    </row>
    <row r="274" spans="2:6" ht="29" x14ac:dyDescent="0.35">
      <c r="B274" s="206" t="s">
        <v>260</v>
      </c>
      <c r="C274" s="203"/>
      <c r="D274" s="198"/>
      <c r="E274" s="228"/>
      <c r="F274" s="197"/>
    </row>
    <row r="275" spans="2:6" x14ac:dyDescent="0.35">
      <c r="B275" s="207" t="s">
        <v>261</v>
      </c>
      <c r="C275" s="157"/>
      <c r="D275" s="208"/>
      <c r="E275" s="228"/>
      <c r="F275" s="197"/>
    </row>
    <row r="276" spans="2:6" x14ac:dyDescent="0.35">
      <c r="B276" s="207" t="s">
        <v>262</v>
      </c>
      <c r="C276" s="157"/>
      <c r="D276" s="208"/>
      <c r="E276" s="228"/>
      <c r="F276" s="197"/>
    </row>
    <row r="277" spans="2:6" x14ac:dyDescent="0.35">
      <c r="B277" s="205"/>
      <c r="C277" s="209"/>
      <c r="D277" s="210"/>
      <c r="E277" s="241"/>
      <c r="F277" s="211"/>
    </row>
    <row r="278" spans="2:6" x14ac:dyDescent="0.35">
      <c r="B278" s="205" t="s">
        <v>263</v>
      </c>
      <c r="C278" s="209"/>
      <c r="D278" s="210"/>
      <c r="E278" s="241"/>
      <c r="F278" s="211"/>
    </row>
    <row r="279" spans="2:6" x14ac:dyDescent="0.35">
      <c r="B279" s="212" t="s">
        <v>264</v>
      </c>
      <c r="C279" s="209"/>
      <c r="D279" s="210"/>
      <c r="E279" s="241"/>
      <c r="F279" s="211"/>
    </row>
    <row r="280" spans="2:6" x14ac:dyDescent="0.35">
      <c r="B280" s="212" t="s">
        <v>275</v>
      </c>
      <c r="C280" s="209"/>
      <c r="D280" s="210"/>
      <c r="E280" s="241"/>
      <c r="F280" s="211"/>
    </row>
    <row r="281" spans="2:6" x14ac:dyDescent="0.35">
      <c r="B281" s="212" t="s">
        <v>276</v>
      </c>
      <c r="C281" s="209"/>
      <c r="D281" s="210"/>
      <c r="E281" s="241"/>
      <c r="F281" s="211"/>
    </row>
    <row r="282" spans="2:6" x14ac:dyDescent="0.35">
      <c r="B282" s="212" t="s">
        <v>267</v>
      </c>
      <c r="C282" s="209"/>
      <c r="D282" s="210"/>
      <c r="E282" s="241"/>
      <c r="F282" s="211"/>
    </row>
    <row r="283" spans="2:6" x14ac:dyDescent="0.35">
      <c r="B283" s="212" t="s">
        <v>277</v>
      </c>
      <c r="C283" s="209"/>
      <c r="D283" s="210"/>
      <c r="E283" s="241"/>
      <c r="F283" s="211"/>
    </row>
    <row r="284" spans="2:6" x14ac:dyDescent="0.35">
      <c r="B284" s="212" t="s">
        <v>278</v>
      </c>
      <c r="C284" s="209"/>
      <c r="D284" s="210"/>
      <c r="E284" s="241"/>
      <c r="F284" s="211"/>
    </row>
    <row r="285" spans="2:6" ht="29" x14ac:dyDescent="0.35">
      <c r="B285" s="212" t="s">
        <v>279</v>
      </c>
      <c r="C285" s="209"/>
      <c r="D285" s="210"/>
      <c r="E285" s="241"/>
      <c r="F285" s="211"/>
    </row>
    <row r="286" spans="2:6" x14ac:dyDescent="0.35">
      <c r="B286" s="212" t="s">
        <v>289</v>
      </c>
      <c r="C286" s="209"/>
      <c r="D286" s="210"/>
      <c r="E286" s="241"/>
      <c r="F286" s="211"/>
    </row>
    <row r="287" spans="2:6" x14ac:dyDescent="0.35">
      <c r="B287" s="212" t="s">
        <v>280</v>
      </c>
      <c r="C287" s="157" t="s">
        <v>81</v>
      </c>
      <c r="D287" s="208">
        <v>8</v>
      </c>
      <c r="E287" s="228"/>
      <c r="F287" s="197">
        <f>D287*E287</f>
        <v>0</v>
      </c>
    </row>
    <row r="288" spans="2:6" x14ac:dyDescent="0.35">
      <c r="B288" s="213"/>
      <c r="C288" s="214"/>
      <c r="D288" s="215"/>
      <c r="E288" s="242"/>
      <c r="F288" s="216"/>
    </row>
    <row r="289" spans="1:7" x14ac:dyDescent="0.35">
      <c r="A289" s="124">
        <v>3</v>
      </c>
      <c r="B289" s="202" t="s">
        <v>281</v>
      </c>
      <c r="C289" s="157"/>
      <c r="D289" s="208"/>
      <c r="E289" s="228"/>
      <c r="F289" s="197"/>
    </row>
    <row r="290" spans="1:7" x14ac:dyDescent="0.35">
      <c r="B290" s="217" t="s">
        <v>282</v>
      </c>
      <c r="C290" s="157"/>
      <c r="D290" s="208"/>
      <c r="E290" s="228"/>
      <c r="F290" s="197"/>
    </row>
    <row r="291" spans="1:7" x14ac:dyDescent="0.35">
      <c r="B291" s="217" t="s">
        <v>283</v>
      </c>
      <c r="C291" s="157"/>
      <c r="D291" s="208"/>
      <c r="E291" s="228"/>
      <c r="F291" s="197"/>
    </row>
    <row r="292" spans="1:7" x14ac:dyDescent="0.35">
      <c r="B292" s="217" t="s">
        <v>284</v>
      </c>
      <c r="C292" s="157"/>
      <c r="D292" s="208"/>
      <c r="E292" s="228"/>
      <c r="F292" s="197"/>
    </row>
    <row r="293" spans="1:7" x14ac:dyDescent="0.35">
      <c r="B293" s="217" t="s">
        <v>285</v>
      </c>
      <c r="C293" s="157"/>
      <c r="D293" s="208"/>
      <c r="E293" s="228"/>
      <c r="F293" s="197"/>
    </row>
    <row r="294" spans="1:7" x14ac:dyDescent="0.35">
      <c r="B294" s="218" t="s">
        <v>286</v>
      </c>
      <c r="C294" s="157"/>
      <c r="D294" s="208"/>
      <c r="E294" s="228"/>
      <c r="F294" s="197"/>
    </row>
    <row r="295" spans="1:7" x14ac:dyDescent="0.35">
      <c r="B295" s="219" t="s">
        <v>287</v>
      </c>
      <c r="C295" s="220" t="s">
        <v>81</v>
      </c>
      <c r="D295" s="221">
        <v>10</v>
      </c>
      <c r="E295" s="243"/>
      <c r="F295" s="222">
        <f>D295*E295</f>
        <v>0</v>
      </c>
    </row>
    <row r="296" spans="1:7" x14ac:dyDescent="0.35">
      <c r="E296" s="155"/>
    </row>
    <row r="297" spans="1:7" x14ac:dyDescent="0.35">
      <c r="B297" s="104" t="s">
        <v>26</v>
      </c>
      <c r="C297" s="27"/>
      <c r="D297" s="41"/>
      <c r="E297" s="236"/>
      <c r="F297" s="42">
        <f>SUM(F246:F296)</f>
        <v>0</v>
      </c>
      <c r="G297" s="42">
        <f>SUM(G246:G296)</f>
        <v>0</v>
      </c>
    </row>
  </sheetData>
  <sheetProtection algorithmName="SHA-512" hashValue="QqIUTvwRA2rsHnJexpsIrXmwuDE1xaY7gngZObluDcSxaVkH6nikEyOnao03QEB5tAe/ThrKabtLbgD/2tRMQA==" saltValue="4xR2RXuNOskKbNGNfaLY+A==" spinCount="100000" sheet="1" objects="1" scenarios="1"/>
  <mergeCells count="6">
    <mergeCell ref="A1:F1"/>
    <mergeCell ref="A2:F2"/>
    <mergeCell ref="A3:F3"/>
    <mergeCell ref="B25:F25"/>
    <mergeCell ref="B196:F196"/>
    <mergeCell ref="B138:F139"/>
  </mergeCells>
  <pageMargins left="0.39370078740157483" right="0.19685039370078741" top="0.39370078740157483" bottom="0.39370078740157483" header="0.19685039370078741" footer="0.19685039370078741"/>
  <pageSetup paperSize="9" orientation="landscape" r:id="rId1"/>
  <headerFooter>
    <oddFooter>&amp;L&amp;"Arial CE,Ležeče"&amp;9&amp;F&amp;R&amp;"Arial CE,Ležeče"&amp;9Stran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BK238"/>
  <sheetViews>
    <sheetView showZeros="0" topLeftCell="T1" zoomScale="80" zoomScaleNormal="80" workbookViewId="0">
      <pane ySplit="7" topLeftCell="A149" activePane="bottomLeft" state="frozen"/>
      <selection pane="bottomLeft" activeCell="BG1" sqref="BG1"/>
    </sheetView>
  </sheetViews>
  <sheetFormatPr defaultColWidth="9.1796875" defaultRowHeight="14.5" x14ac:dyDescent="0.35"/>
  <cols>
    <col min="1" max="1" width="6.1796875" style="93" bestFit="1" customWidth="1"/>
    <col min="2" max="2" width="44.26953125" style="56" customWidth="1"/>
    <col min="3" max="3" width="8.81640625" style="56" bestFit="1" customWidth="1"/>
    <col min="4" max="4" width="8.453125" style="56" customWidth="1"/>
    <col min="5" max="5" width="7.54296875" style="56" bestFit="1" customWidth="1"/>
    <col min="6" max="6" width="10.81640625" style="56" customWidth="1"/>
    <col min="7" max="7" width="4.7265625" style="56" customWidth="1"/>
    <col min="8" max="8" width="9" style="72" customWidth="1"/>
    <col min="9" max="9" width="12.26953125" style="72" customWidth="1"/>
    <col min="10" max="10" width="14.54296875" style="72" customWidth="1"/>
    <col min="11" max="11" width="10.26953125" style="72" customWidth="1"/>
    <col min="12" max="13" width="12.26953125" style="72" customWidth="1"/>
    <col min="14" max="15" width="12.7265625" style="72" customWidth="1"/>
    <col min="16" max="16" width="11.54296875" style="72" customWidth="1"/>
    <col min="17" max="17" width="10.26953125" style="72" customWidth="1"/>
    <col min="18" max="18" width="4.7265625" style="56" customWidth="1"/>
    <col min="19" max="19" width="10.26953125" style="72" customWidth="1"/>
    <col min="20" max="20" width="10.1796875" style="72" bestFit="1" customWidth="1"/>
    <col min="21" max="21" width="10.26953125" style="72" customWidth="1"/>
    <col min="22" max="22" width="4.7265625" style="56" customWidth="1"/>
    <col min="23" max="23" width="10.26953125" style="72" customWidth="1"/>
    <col min="24" max="26" width="10.7265625" style="72" customWidth="1"/>
    <col min="27" max="27" width="10.7265625" style="56" customWidth="1"/>
    <col min="28" max="28" width="8.26953125" style="56" customWidth="1"/>
    <col min="29" max="29" width="11.1796875" style="56" customWidth="1"/>
    <col min="30" max="30" width="11.1796875" style="72" customWidth="1"/>
    <col min="31" max="31" width="10.7265625" style="56" customWidth="1"/>
    <col min="32" max="32" width="15.7265625" style="56" customWidth="1"/>
    <col min="33" max="33" width="9.1796875" style="186"/>
    <col min="34" max="34" width="4.7265625" style="56" customWidth="1"/>
    <col min="35" max="35" width="10.7265625" style="72" customWidth="1"/>
    <col min="36" max="37" width="9.26953125" style="72" customWidth="1"/>
    <col min="38" max="38" width="4.7265625" style="56" customWidth="1"/>
    <col min="39" max="39" width="10.81640625" style="72" bestFit="1" customWidth="1"/>
    <col min="40" max="40" width="11" style="72" bestFit="1" customWidth="1"/>
    <col min="41" max="41" width="12.7265625" style="72" bestFit="1" customWidth="1"/>
    <col min="42" max="42" width="10.453125" style="72" customWidth="1"/>
    <col min="43" max="43" width="9.81640625" style="72" customWidth="1"/>
    <col min="44" max="44" width="12.26953125" style="72" customWidth="1"/>
    <col min="45" max="45" width="4.7265625" style="56" customWidth="1"/>
    <col min="46" max="46" width="15.1796875" style="72" bestFit="1" customWidth="1"/>
    <col min="47" max="47" width="14.81640625" style="72" customWidth="1"/>
    <col min="48" max="48" width="4.7265625" style="72" customWidth="1"/>
    <col min="49" max="49" width="7.81640625" style="72" customWidth="1"/>
    <col min="50" max="51" width="9.26953125" style="72" customWidth="1"/>
    <col min="52" max="52" width="10.7265625" style="72" customWidth="1"/>
    <col min="53" max="53" width="9" style="72" customWidth="1"/>
    <col min="54" max="54" width="9.1796875" style="72" customWidth="1"/>
    <col min="55" max="55" width="4.7265625" style="56" customWidth="1"/>
    <col min="56" max="56" width="12" style="56" customWidth="1"/>
    <col min="57" max="58" width="9.7265625" style="56" customWidth="1"/>
    <col min="59" max="59" width="9.1796875" style="56" customWidth="1"/>
    <col min="60" max="60" width="4.7265625" style="56" customWidth="1"/>
    <col min="61" max="61" width="10.54296875" style="56" customWidth="1"/>
    <col min="62" max="16384" width="9.1796875" style="56"/>
  </cols>
  <sheetData>
    <row r="1" spans="1:63" s="84" customFormat="1" ht="43.5" x14ac:dyDescent="0.35">
      <c r="A1" s="259" t="str">
        <f>'Popis del_fasada'!A2:F2</f>
        <v xml:space="preserve">OBJEKT: VEČ STANOVANJSKA STAVBA, CESTA DOLOMITSKEGA ODREDA 17, LJUBLJANA </v>
      </c>
      <c r="B1" s="260"/>
      <c r="C1" s="52" t="s">
        <v>60</v>
      </c>
      <c r="D1" s="52" t="s">
        <v>43</v>
      </c>
      <c r="E1" s="52" t="s">
        <v>24</v>
      </c>
      <c r="F1" s="52" t="s">
        <v>168</v>
      </c>
      <c r="G1" s="77"/>
      <c r="H1" s="174" t="str">
        <f>B12</f>
        <v>Čiščenje terena</v>
      </c>
      <c r="I1" s="175" t="str">
        <f>B55</f>
        <v>Demontaža tlakovci</v>
      </c>
      <c r="J1" s="175" t="str">
        <f>B14</f>
        <v>Demontaža senčil_250 cm</v>
      </c>
      <c r="K1" s="176" t="str">
        <f>B56</f>
        <v>Odbijanje špalet</v>
      </c>
      <c r="L1" s="176" t="str">
        <f>B59</f>
        <v>Demontaža oken</v>
      </c>
      <c r="M1" s="176" t="str">
        <f>B61</f>
        <v>Demontaža polic kamen</v>
      </c>
      <c r="N1" s="176" t="s">
        <v>35</v>
      </c>
      <c r="O1" s="176" t="str">
        <f>B63</f>
        <v>Demontaža vert odtočnih cevi</v>
      </c>
      <c r="P1" s="177" t="str">
        <f>B111</f>
        <v>Betonske plošče</v>
      </c>
      <c r="Q1" s="52"/>
      <c r="R1" s="53"/>
      <c r="S1" s="52" t="s">
        <v>76</v>
      </c>
      <c r="T1" s="178" t="str">
        <f>B19</f>
        <v>Enozrnati prodec</v>
      </c>
      <c r="U1" s="52" t="str">
        <f>B67</f>
        <v>Tampon</v>
      </c>
      <c r="V1" s="53"/>
      <c r="W1" s="179" t="str">
        <f>B23</f>
        <v>Izravnava cokla</v>
      </c>
      <c r="X1" s="180" t="s">
        <v>100</v>
      </c>
      <c r="Y1" s="53" t="str">
        <f>B27</f>
        <v>Hidro izolacija</v>
      </c>
      <c r="Z1" s="53" t="str">
        <f>B167</f>
        <v>HI terasa</v>
      </c>
      <c r="AA1" s="46" t="str">
        <f>B32</f>
        <v>Vrtni robniki</v>
      </c>
      <c r="AB1" s="179" t="str">
        <f>B28</f>
        <v>Police_ granit</v>
      </c>
      <c r="AC1" s="179" t="str">
        <f>B77</f>
        <v>Polaganje tlakovcev</v>
      </c>
      <c r="AD1" s="181" t="str">
        <f>B129</f>
        <v>Tlakovanje prane plošče</v>
      </c>
      <c r="AE1" s="179" t="str">
        <f>B164</f>
        <v>Sanacija betona_stopnice</v>
      </c>
      <c r="AF1" s="52" t="str">
        <f>B209</f>
        <v>Bakelitna obloga_nosilni sloj</v>
      </c>
      <c r="AG1" s="151"/>
      <c r="AH1" s="53"/>
      <c r="AI1" s="52" t="s">
        <v>21</v>
      </c>
      <c r="AJ1" s="178" t="str">
        <f>B82</f>
        <v>Lovilni oder</v>
      </c>
      <c r="AK1" s="52"/>
      <c r="AL1" s="53"/>
      <c r="AM1" s="52" t="str">
        <f>B40</f>
        <v>EPS_cokel</v>
      </c>
      <c r="AN1" s="182" t="str">
        <f>B42</f>
        <v>EPS_grafit</v>
      </c>
      <c r="AO1" s="52" t="str">
        <f>B46</f>
        <v>EPS_špalete</v>
      </c>
      <c r="AP1" s="52" t="s">
        <v>120</v>
      </c>
      <c r="AQ1" s="77" t="str">
        <f>B143</f>
        <v>Okrogel steber</v>
      </c>
      <c r="AR1" s="52"/>
      <c r="AS1" s="53"/>
      <c r="AT1" s="77" t="str">
        <f>B98</f>
        <v>Odtočni žleb_vertikalni</v>
      </c>
      <c r="AU1" s="52"/>
      <c r="AV1" s="53"/>
      <c r="AW1" s="52" t="str">
        <f>B191</f>
        <v>Tla terasa</v>
      </c>
      <c r="AX1" s="182" t="str">
        <f>B192</f>
        <v>NS obloga</v>
      </c>
      <c r="AY1" s="52" t="str">
        <f>B193</f>
        <v>Čelo plošče</v>
      </c>
      <c r="AZ1" s="52" t="str">
        <f>B194</f>
        <v>Stopnišče</v>
      </c>
      <c r="BA1" s="77" t="str">
        <f>B195</f>
        <v>NS obloga_stopnice</v>
      </c>
      <c r="BB1" s="52" t="str">
        <f>B196</f>
        <v>Čelo stopnice</v>
      </c>
      <c r="BC1" s="53"/>
      <c r="BD1" s="52" t="str">
        <f>B199</f>
        <v>Revital kolor</v>
      </c>
      <c r="BE1" s="52" t="str">
        <f>B200</f>
        <v>Pleskanje opaža</v>
      </c>
      <c r="BF1" s="52" t="str">
        <f>B203</f>
        <v>Kovinska ograja</v>
      </c>
      <c r="BG1" s="52"/>
      <c r="BI1" s="52" t="str">
        <f>B101</f>
        <v>Zračenje stropnikov</v>
      </c>
      <c r="BJ1" s="52"/>
      <c r="BK1" s="52"/>
    </row>
    <row r="2" spans="1:63" s="85" customFormat="1" ht="15" customHeight="1" x14ac:dyDescent="0.35">
      <c r="A2" s="141"/>
      <c r="B2" s="51"/>
      <c r="C2" s="53"/>
      <c r="D2" s="53"/>
      <c r="E2" s="53"/>
      <c r="F2" s="53"/>
      <c r="G2" s="53"/>
      <c r="H2" s="254" t="str">
        <f>'Popis del_fasada'!B27</f>
        <v>RUŠITVENA IN ODSTRANITVENA DELA</v>
      </c>
      <c r="I2" s="272"/>
      <c r="J2" s="272"/>
      <c r="K2" s="272"/>
      <c r="L2" s="272"/>
      <c r="M2" s="272"/>
      <c r="N2" s="272"/>
      <c r="O2" s="272"/>
      <c r="P2" s="272"/>
      <c r="Q2" s="273"/>
      <c r="R2" s="98"/>
      <c r="S2" s="261" t="str">
        <f>'Popis del_fasada'!B70</f>
        <v>ZEMELJSKA DELA</v>
      </c>
      <c r="T2" s="264"/>
      <c r="U2" s="265"/>
      <c r="V2" s="98"/>
      <c r="W2" s="266" t="str">
        <f>'Popis del_fasada'!B84</f>
        <v>ZIDARSKA DELA</v>
      </c>
      <c r="X2" s="267"/>
      <c r="Y2" s="267"/>
      <c r="Z2" s="267"/>
      <c r="AA2" s="267"/>
      <c r="AB2" s="267"/>
      <c r="AC2" s="267"/>
      <c r="AD2" s="267"/>
      <c r="AE2" s="267"/>
      <c r="AF2" s="267"/>
      <c r="AG2" s="268"/>
      <c r="AH2" s="150"/>
      <c r="AI2" s="274" t="str">
        <f>'Popis del_fasada'!B128</f>
        <v>TESARSKA DELA</v>
      </c>
      <c r="AJ2" s="275"/>
      <c r="AK2" s="276"/>
      <c r="AL2" s="53"/>
      <c r="AM2" s="261" t="str">
        <f>'Popis del_fasada'!B136</f>
        <v>FASADERSKA DELA</v>
      </c>
      <c r="AN2" s="262"/>
      <c r="AO2" s="262"/>
      <c r="AP2" s="262"/>
      <c r="AQ2" s="262"/>
      <c r="AR2" s="263"/>
      <c r="AS2" s="53"/>
      <c r="AT2" s="254" t="str">
        <f>'Popis del_fasada'!B155</f>
        <v>KLEPARSKA DELA</v>
      </c>
      <c r="AU2" s="255"/>
      <c r="AV2" s="53"/>
      <c r="AW2" s="269" t="str">
        <f>'Popis del_fasada'!B161</f>
        <v>KERAMIČARSKA DELA</v>
      </c>
      <c r="AX2" s="270"/>
      <c r="AY2" s="270"/>
      <c r="AZ2" s="270"/>
      <c r="BA2" s="270"/>
      <c r="BB2" s="271"/>
      <c r="BC2" s="98"/>
      <c r="BD2" s="256" t="str">
        <f>'Popis del_fasada'!B180</f>
        <v>SLIKOPLESKARSKA DELA</v>
      </c>
      <c r="BE2" s="257"/>
      <c r="BF2" s="257"/>
      <c r="BG2" s="258"/>
      <c r="BI2" s="251" t="s">
        <v>82</v>
      </c>
      <c r="BJ2" s="252"/>
      <c r="BK2" s="253"/>
    </row>
    <row r="3" spans="1:63" s="85" customFormat="1" ht="15" customHeight="1" x14ac:dyDescent="0.35">
      <c r="A3" s="141"/>
      <c r="B3" s="69" t="s">
        <v>45</v>
      </c>
      <c r="C3" s="86"/>
      <c r="D3" s="53"/>
      <c r="E3" s="53"/>
      <c r="F3" s="53"/>
      <c r="G3" s="53"/>
      <c r="H3" s="91"/>
      <c r="I3" s="91"/>
      <c r="J3" s="91"/>
      <c r="K3" s="74"/>
      <c r="L3" s="74"/>
      <c r="M3" s="74"/>
      <c r="N3" s="74"/>
      <c r="O3" s="74"/>
      <c r="P3" s="91"/>
      <c r="Q3" s="74"/>
      <c r="R3" s="98"/>
      <c r="S3" s="91"/>
      <c r="T3" s="91"/>
      <c r="U3" s="91"/>
      <c r="V3" s="98"/>
      <c r="W3" s="91"/>
      <c r="X3" s="91"/>
      <c r="Y3" s="91"/>
      <c r="Z3" s="91"/>
      <c r="AA3" s="98"/>
      <c r="AB3" s="98"/>
      <c r="AC3" s="98"/>
      <c r="AD3" s="91"/>
      <c r="AE3" s="98"/>
      <c r="AF3" s="98"/>
      <c r="AH3" s="98"/>
      <c r="AI3" s="91"/>
      <c r="AJ3" s="91"/>
      <c r="AK3" s="91"/>
      <c r="AL3" s="53"/>
      <c r="AM3" s="91"/>
      <c r="AN3" s="74"/>
      <c r="AO3" s="74"/>
      <c r="AP3" s="74"/>
      <c r="AQ3" s="74"/>
      <c r="AR3" s="74"/>
      <c r="AS3" s="53"/>
      <c r="AT3" s="91"/>
      <c r="AU3" s="91"/>
      <c r="AV3" s="91"/>
      <c r="AW3" s="91"/>
      <c r="AX3" s="91"/>
      <c r="AY3" s="91"/>
      <c r="AZ3" s="91"/>
      <c r="BA3" s="91"/>
      <c r="BB3" s="91"/>
      <c r="BC3" s="98"/>
    </row>
    <row r="4" spans="1:63" s="85" customFormat="1" ht="15" customHeight="1" x14ac:dyDescent="0.35">
      <c r="A4" s="141"/>
      <c r="B4" s="183" t="s">
        <v>54</v>
      </c>
      <c r="C4" s="184">
        <v>0.14000000000000001</v>
      </c>
      <c r="D4" s="53"/>
      <c r="E4" s="53"/>
      <c r="F4" s="53"/>
      <c r="G4" s="53"/>
      <c r="H4" s="91"/>
      <c r="I4" s="91"/>
      <c r="J4" s="91"/>
      <c r="K4" s="74"/>
      <c r="L4" s="74"/>
      <c r="M4" s="74"/>
      <c r="N4" s="74"/>
      <c r="O4" s="74"/>
      <c r="P4" s="91"/>
      <c r="Q4" s="74"/>
      <c r="R4" s="98"/>
      <c r="S4" s="91"/>
      <c r="T4" s="91"/>
      <c r="U4" s="91"/>
      <c r="V4" s="98"/>
      <c r="W4" s="91"/>
      <c r="X4" s="91"/>
      <c r="Y4" s="91"/>
      <c r="Z4" s="91"/>
      <c r="AA4" s="98"/>
      <c r="AB4" s="98"/>
      <c r="AC4" s="98"/>
      <c r="AD4" s="91"/>
      <c r="AE4" s="98"/>
      <c r="AF4" s="98"/>
      <c r="AH4" s="98"/>
      <c r="AI4" s="91"/>
      <c r="AJ4" s="91"/>
      <c r="AK4" s="91"/>
      <c r="AL4" s="53"/>
      <c r="AM4" s="91"/>
      <c r="AN4" s="74"/>
      <c r="AO4" s="74"/>
      <c r="AP4" s="74"/>
      <c r="AQ4" s="74"/>
      <c r="AR4" s="74"/>
      <c r="AS4" s="53"/>
      <c r="AT4" s="91"/>
      <c r="AU4" s="91"/>
      <c r="AV4" s="91"/>
      <c r="AW4" s="91"/>
      <c r="AX4" s="91"/>
      <c r="AY4" s="91"/>
      <c r="AZ4" s="91"/>
      <c r="BA4" s="91"/>
      <c r="BB4" s="91"/>
      <c r="BC4" s="98"/>
    </row>
    <row r="5" spans="1:63" s="85" customFormat="1" ht="15" customHeight="1" x14ac:dyDescent="0.35">
      <c r="A5" s="141"/>
      <c r="B5" s="73" t="s">
        <v>58</v>
      </c>
      <c r="C5" s="87"/>
      <c r="D5" s="53"/>
      <c r="E5" s="53"/>
      <c r="F5" s="53"/>
      <c r="G5" s="53"/>
      <c r="H5" s="91"/>
      <c r="I5" s="91"/>
      <c r="J5" s="91"/>
      <c r="K5" s="74"/>
      <c r="L5" s="74"/>
      <c r="M5" s="74"/>
      <c r="N5" s="74"/>
      <c r="O5" s="74"/>
      <c r="P5" s="91"/>
      <c r="Q5" s="74"/>
      <c r="R5" s="98"/>
      <c r="S5" s="91"/>
      <c r="T5" s="91"/>
      <c r="U5" s="91"/>
      <c r="V5" s="98"/>
      <c r="W5" s="91"/>
      <c r="X5" s="91"/>
      <c r="Y5" s="91"/>
      <c r="Z5" s="91"/>
      <c r="AA5" s="98"/>
      <c r="AB5" s="98"/>
      <c r="AC5" s="98"/>
      <c r="AD5" s="91"/>
      <c r="AE5" s="98"/>
      <c r="AF5" s="98"/>
      <c r="AH5" s="98"/>
      <c r="AI5" s="91"/>
      <c r="AJ5" s="91"/>
      <c r="AK5" s="91"/>
      <c r="AL5" s="53"/>
      <c r="AM5" s="91"/>
      <c r="AN5" s="74"/>
      <c r="AO5" s="74"/>
      <c r="AP5" s="74"/>
      <c r="AQ5" s="74"/>
      <c r="AR5" s="74"/>
      <c r="AS5" s="53"/>
      <c r="AT5" s="91"/>
      <c r="AU5" s="91"/>
      <c r="AV5" s="91"/>
      <c r="AW5" s="91"/>
      <c r="AX5" s="91"/>
      <c r="AY5" s="91"/>
      <c r="AZ5" s="91"/>
      <c r="BA5" s="91"/>
      <c r="BB5" s="91"/>
      <c r="BC5" s="98"/>
    </row>
    <row r="6" spans="1:63" s="85" customFormat="1" ht="15" customHeight="1" x14ac:dyDescent="0.35">
      <c r="A6" s="141"/>
      <c r="B6" s="73" t="s">
        <v>66</v>
      </c>
      <c r="C6" s="87">
        <v>0.13</v>
      </c>
      <c r="D6" s="53"/>
      <c r="E6" s="53">
        <f>0.15+0.13+0.05</f>
        <v>0.33</v>
      </c>
      <c r="F6" s="53"/>
      <c r="G6" s="53"/>
      <c r="H6" s="91"/>
      <c r="I6" s="91"/>
      <c r="J6" s="91"/>
      <c r="K6" s="74"/>
      <c r="L6" s="74"/>
      <c r="M6" s="74"/>
      <c r="N6" s="74"/>
      <c r="O6" s="74"/>
      <c r="P6" s="91"/>
      <c r="Q6" s="74"/>
      <c r="R6" s="98"/>
      <c r="S6" s="91"/>
      <c r="T6" s="91"/>
      <c r="U6" s="91"/>
      <c r="V6" s="98"/>
      <c r="W6" s="91"/>
      <c r="X6" s="91"/>
      <c r="Y6" s="91"/>
      <c r="Z6" s="91"/>
      <c r="AA6" s="98"/>
      <c r="AB6" s="98"/>
      <c r="AC6" s="98"/>
      <c r="AD6" s="91"/>
      <c r="AE6" s="98"/>
      <c r="AF6" s="98"/>
      <c r="AH6" s="98"/>
      <c r="AI6" s="91"/>
      <c r="AJ6" s="91"/>
      <c r="AK6" s="91"/>
      <c r="AL6" s="53"/>
      <c r="AM6" s="91"/>
      <c r="AN6" s="74"/>
      <c r="AO6" s="74"/>
      <c r="AP6" s="74"/>
      <c r="AQ6" s="74"/>
      <c r="AR6" s="74"/>
      <c r="AS6" s="53"/>
      <c r="AT6" s="91"/>
      <c r="AU6" s="91"/>
      <c r="AV6" s="91"/>
      <c r="AW6" s="91"/>
      <c r="AX6" s="91"/>
      <c r="AY6" s="91"/>
      <c r="AZ6" s="91"/>
      <c r="BA6" s="91"/>
      <c r="BB6" s="91"/>
      <c r="BC6" s="98"/>
    </row>
    <row r="7" spans="1:63" s="85" customFormat="1" ht="15" customHeight="1" x14ac:dyDescent="0.35">
      <c r="A7" s="141"/>
      <c r="B7" s="73" t="s">
        <v>105</v>
      </c>
      <c r="C7" s="87">
        <v>1.05</v>
      </c>
      <c r="D7" s="53"/>
      <c r="E7" s="53"/>
      <c r="F7" s="53"/>
      <c r="G7" s="53"/>
      <c r="H7" s="91"/>
      <c r="I7" s="91"/>
      <c r="J7" s="91"/>
      <c r="K7" s="74"/>
      <c r="L7" s="74"/>
      <c r="M7" s="74"/>
      <c r="N7" s="74"/>
      <c r="O7" s="74"/>
      <c r="P7" s="91"/>
      <c r="Q7" s="74"/>
      <c r="R7" s="98"/>
      <c r="S7" s="91"/>
      <c r="T7" s="91"/>
      <c r="U7" s="91"/>
      <c r="V7" s="98"/>
      <c r="W7" s="91"/>
      <c r="X7" s="91"/>
      <c r="Y7" s="91"/>
      <c r="Z7" s="91"/>
      <c r="AA7" s="98"/>
      <c r="AB7" s="98"/>
      <c r="AC7" s="98"/>
      <c r="AD7" s="91"/>
      <c r="AE7" s="98"/>
      <c r="AF7" s="98"/>
      <c r="AH7" s="98"/>
      <c r="AI7" s="91"/>
      <c r="AJ7" s="91"/>
      <c r="AK7" s="91"/>
      <c r="AL7" s="53"/>
      <c r="AM7" s="91"/>
      <c r="AN7" s="74"/>
      <c r="AO7" s="74"/>
      <c r="AP7" s="74"/>
      <c r="AQ7" s="74"/>
      <c r="AR7" s="74"/>
      <c r="AS7" s="53"/>
      <c r="AT7" s="91"/>
      <c r="AU7" s="91"/>
      <c r="AV7" s="91"/>
      <c r="AW7" s="91"/>
      <c r="AX7" s="91"/>
      <c r="AY7" s="91"/>
      <c r="AZ7" s="91"/>
      <c r="BA7" s="91"/>
      <c r="BB7" s="91"/>
      <c r="BC7" s="98"/>
    </row>
    <row r="8" spans="1:63" s="85" customFormat="1" ht="15" customHeight="1" x14ac:dyDescent="0.35">
      <c r="A8" s="141"/>
      <c r="B8" s="51"/>
      <c r="C8" s="53"/>
      <c r="D8" s="53"/>
      <c r="E8" s="53"/>
      <c r="F8" s="53"/>
      <c r="G8" s="53"/>
      <c r="H8" s="91"/>
      <c r="I8" s="91"/>
      <c r="J8" s="91"/>
      <c r="K8" s="74"/>
      <c r="L8" s="74"/>
      <c r="M8" s="74"/>
      <c r="N8" s="74"/>
      <c r="O8" s="74"/>
      <c r="P8" s="91"/>
      <c r="Q8" s="74"/>
      <c r="R8" s="98"/>
      <c r="S8" s="91"/>
      <c r="T8" s="91"/>
      <c r="U8" s="91"/>
      <c r="V8" s="98"/>
      <c r="W8" s="91"/>
      <c r="X8" s="91"/>
      <c r="Y8" s="91"/>
      <c r="Z8" s="91"/>
      <c r="AA8" s="98"/>
      <c r="AB8" s="98"/>
      <c r="AC8" s="98"/>
      <c r="AD8" s="91"/>
      <c r="AE8" s="98"/>
      <c r="AF8" s="98"/>
      <c r="AH8" s="98"/>
      <c r="AI8" s="91"/>
      <c r="AJ8" s="91"/>
      <c r="AK8" s="91"/>
      <c r="AL8" s="53"/>
      <c r="AM8" s="91"/>
      <c r="AN8" s="74"/>
      <c r="AO8" s="74"/>
      <c r="AP8" s="74"/>
      <c r="AQ8" s="74"/>
      <c r="AR8" s="74"/>
      <c r="AS8" s="53"/>
      <c r="AT8" s="91"/>
      <c r="AU8" s="91"/>
      <c r="AV8" s="91"/>
      <c r="AW8" s="91"/>
      <c r="AX8" s="91"/>
      <c r="AY8" s="91"/>
      <c r="AZ8" s="91"/>
      <c r="BA8" s="91"/>
      <c r="BB8" s="91"/>
      <c r="BC8" s="98"/>
    </row>
    <row r="9" spans="1:63" s="85" customFormat="1" ht="15" customHeight="1" x14ac:dyDescent="0.35">
      <c r="A9" s="93"/>
      <c r="B9" s="88" t="s">
        <v>34</v>
      </c>
      <c r="C9" s="86"/>
      <c r="D9" s="86"/>
      <c r="E9" s="71"/>
      <c r="F9" s="71"/>
      <c r="G9" s="69"/>
      <c r="H9" s="72"/>
      <c r="I9" s="72"/>
      <c r="J9" s="72"/>
      <c r="K9" s="72"/>
      <c r="L9" s="72"/>
      <c r="M9" s="72"/>
      <c r="N9" s="72"/>
      <c r="O9" s="72"/>
      <c r="P9" s="72"/>
      <c r="Q9" s="72"/>
      <c r="R9" s="56"/>
      <c r="S9" s="72"/>
      <c r="T9" s="72"/>
      <c r="U9" s="72"/>
      <c r="V9" s="69"/>
      <c r="W9" s="72"/>
      <c r="X9" s="72"/>
      <c r="Y9" s="72"/>
      <c r="Z9" s="72"/>
      <c r="AA9" s="70"/>
      <c r="AB9" s="69"/>
      <c r="AC9" s="69"/>
      <c r="AD9" s="71"/>
      <c r="AE9" s="69"/>
      <c r="AF9" s="69"/>
      <c r="AH9" s="69"/>
      <c r="AI9" s="72"/>
      <c r="AJ9" s="72"/>
      <c r="AK9" s="72"/>
      <c r="AL9" s="69"/>
      <c r="AM9" s="90"/>
      <c r="AN9" s="90"/>
      <c r="AO9" s="90"/>
      <c r="AP9" s="90"/>
      <c r="AQ9" s="90"/>
      <c r="AR9" s="90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</row>
    <row r="10" spans="1:63" s="85" customFormat="1" ht="15" customHeight="1" x14ac:dyDescent="0.35">
      <c r="A10" s="93"/>
      <c r="B10" s="69"/>
      <c r="C10" s="86"/>
      <c r="D10" s="86"/>
      <c r="E10" s="71"/>
      <c r="F10" s="71"/>
      <c r="G10" s="69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56"/>
      <c r="S10" s="72"/>
      <c r="T10" s="72"/>
      <c r="U10" s="72"/>
      <c r="V10" s="69"/>
      <c r="W10" s="72"/>
      <c r="X10" s="72"/>
      <c r="Y10" s="72"/>
      <c r="Z10" s="72"/>
      <c r="AA10" s="70"/>
      <c r="AB10" s="69"/>
      <c r="AC10" s="69"/>
      <c r="AD10" s="71"/>
      <c r="AE10" s="69"/>
      <c r="AF10" s="69"/>
      <c r="AH10" s="69"/>
      <c r="AI10" s="72"/>
      <c r="AJ10" s="72"/>
      <c r="AK10" s="72"/>
      <c r="AL10" s="69"/>
      <c r="AM10" s="90"/>
      <c r="AN10" s="90"/>
      <c r="AO10" s="90"/>
      <c r="AP10" s="90"/>
      <c r="AQ10" s="90"/>
      <c r="AR10" s="90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</row>
    <row r="11" spans="1:63" s="85" customFormat="1" ht="15" customHeight="1" x14ac:dyDescent="0.35">
      <c r="A11" s="93"/>
      <c r="B11" s="69" t="str">
        <f>'Popis del_fasada'!B27</f>
        <v>RUŠITVENA IN ODSTRANITVENA DELA</v>
      </c>
      <c r="C11" s="86"/>
      <c r="D11" s="86"/>
      <c r="E11" s="71"/>
      <c r="F11" s="71"/>
      <c r="G11" s="69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56"/>
      <c r="S11" s="72"/>
      <c r="T11" s="72"/>
      <c r="U11" s="72"/>
      <c r="V11" s="69"/>
      <c r="W11" s="72"/>
      <c r="X11" s="72"/>
      <c r="Y11" s="72"/>
      <c r="Z11" s="72"/>
      <c r="AA11" s="70"/>
      <c r="AB11" s="69"/>
      <c r="AC11" s="69"/>
      <c r="AD11" s="71"/>
      <c r="AE11" s="69"/>
      <c r="AF11" s="69"/>
      <c r="AH11" s="69"/>
      <c r="AI11" s="72"/>
      <c r="AJ11" s="72"/>
      <c r="AK11" s="72"/>
      <c r="AL11" s="69"/>
      <c r="AM11" s="90"/>
      <c r="AN11" s="90"/>
      <c r="AO11" s="90"/>
      <c r="AP11" s="90"/>
      <c r="AQ11" s="90"/>
      <c r="AR11" s="90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</row>
    <row r="12" spans="1:63" s="85" customFormat="1" ht="15" customHeight="1" x14ac:dyDescent="0.35">
      <c r="A12" s="93"/>
      <c r="B12" s="69" t="s">
        <v>114</v>
      </c>
      <c r="C12" s="90">
        <v>9.32</v>
      </c>
      <c r="D12" s="90">
        <v>0.5</v>
      </c>
      <c r="E12" s="71"/>
      <c r="F12" s="71"/>
      <c r="G12" s="69"/>
      <c r="H12" s="72">
        <f>C12*D12</f>
        <v>4.66</v>
      </c>
      <c r="I12" s="72"/>
      <c r="J12" s="72"/>
      <c r="K12" s="72"/>
      <c r="L12" s="72"/>
      <c r="M12" s="72"/>
      <c r="N12" s="72"/>
      <c r="O12" s="72"/>
      <c r="P12" s="72"/>
      <c r="Q12" s="72"/>
      <c r="R12" s="56"/>
      <c r="S12" s="72"/>
      <c r="T12" s="72"/>
      <c r="U12" s="72"/>
      <c r="V12" s="69"/>
      <c r="W12" s="72"/>
      <c r="X12" s="72"/>
      <c r="Y12" s="72"/>
      <c r="Z12" s="72"/>
      <c r="AA12" s="70"/>
      <c r="AB12" s="69"/>
      <c r="AC12" s="69"/>
      <c r="AD12" s="71"/>
      <c r="AE12" s="69"/>
      <c r="AF12" s="69"/>
      <c r="AH12" s="69"/>
      <c r="AI12" s="72"/>
      <c r="AJ12" s="72"/>
      <c r="AK12" s="72"/>
      <c r="AL12" s="69"/>
      <c r="AM12" s="90"/>
      <c r="AN12" s="90"/>
      <c r="AO12" s="90"/>
      <c r="AP12" s="90"/>
      <c r="AQ12" s="90"/>
      <c r="AR12" s="90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</row>
    <row r="13" spans="1:63" s="85" customFormat="1" ht="15" customHeight="1" x14ac:dyDescent="0.35">
      <c r="A13" s="100"/>
      <c r="H13" s="100"/>
      <c r="I13" s="100"/>
      <c r="J13" s="72"/>
      <c r="K13" s="72"/>
      <c r="L13" s="72"/>
      <c r="M13" s="72"/>
      <c r="N13" s="72"/>
      <c r="O13" s="72"/>
      <c r="P13" s="72"/>
      <c r="Q13" s="72"/>
      <c r="R13" s="56"/>
      <c r="S13" s="72"/>
      <c r="T13" s="72"/>
      <c r="U13" s="72"/>
      <c r="V13" s="69"/>
      <c r="W13" s="72"/>
      <c r="X13" s="72"/>
      <c r="Y13" s="72"/>
      <c r="Z13" s="72"/>
      <c r="AA13" s="70"/>
      <c r="AB13" s="69"/>
      <c r="AC13" s="69"/>
      <c r="AD13" s="71"/>
      <c r="AE13" s="69"/>
      <c r="AF13" s="69"/>
      <c r="AH13" s="69"/>
      <c r="AI13" s="72"/>
      <c r="AJ13" s="72"/>
      <c r="AK13" s="72"/>
      <c r="AL13" s="69"/>
      <c r="AM13" s="90"/>
      <c r="AN13" s="90"/>
      <c r="AO13" s="90"/>
      <c r="AP13" s="90"/>
      <c r="AQ13" s="90"/>
      <c r="AR13" s="90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</row>
    <row r="14" spans="1:63" s="85" customFormat="1" ht="15" customHeight="1" x14ac:dyDescent="0.35">
      <c r="A14" s="93" t="str">
        <f>'Popis del_fasada'!A31</f>
        <v>1</v>
      </c>
      <c r="B14" s="69" t="s">
        <v>98</v>
      </c>
      <c r="C14" s="86"/>
      <c r="D14" s="86"/>
      <c r="E14" s="71"/>
      <c r="F14" s="71"/>
      <c r="G14" s="69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56"/>
      <c r="S14" s="72"/>
      <c r="T14" s="72"/>
      <c r="U14" s="72"/>
      <c r="V14" s="69"/>
      <c r="W14" s="72"/>
      <c r="X14" s="72"/>
      <c r="Y14" s="72"/>
      <c r="Z14" s="72"/>
      <c r="AA14" s="70"/>
      <c r="AB14" s="69"/>
      <c r="AC14" s="69"/>
      <c r="AD14" s="71"/>
      <c r="AE14" s="69"/>
      <c r="AF14" s="69"/>
      <c r="AH14" s="69"/>
      <c r="AI14" s="72"/>
      <c r="AJ14" s="72"/>
      <c r="AK14" s="72"/>
      <c r="AL14" s="69"/>
      <c r="AM14" s="90"/>
      <c r="AN14" s="90"/>
      <c r="AO14" s="90"/>
      <c r="AP14" s="90"/>
      <c r="AQ14" s="90"/>
      <c r="AR14" s="90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</row>
    <row r="15" spans="1:63" s="85" customFormat="1" ht="15" customHeight="1" x14ac:dyDescent="0.45">
      <c r="A15" s="93"/>
      <c r="B15" s="56" t="s">
        <v>238</v>
      </c>
      <c r="C15" s="72">
        <v>2.4900000000000002</v>
      </c>
      <c r="D15" s="72">
        <v>1.4</v>
      </c>
      <c r="E15" s="56">
        <v>1</v>
      </c>
      <c r="G15" s="69"/>
      <c r="H15" s="72"/>
      <c r="I15" s="72"/>
      <c r="J15" s="72">
        <f>E15</f>
        <v>1</v>
      </c>
      <c r="K15" s="72">
        <f>(C15+2*D15)*E15*$C$6</f>
        <v>0.68769999999999998</v>
      </c>
      <c r="L15" s="72"/>
      <c r="M15" s="72"/>
      <c r="N15" s="72">
        <f>C15</f>
        <v>2.4900000000000002</v>
      </c>
      <c r="O15" s="72"/>
      <c r="P15" s="72"/>
      <c r="Q15" s="72"/>
      <c r="R15" s="56"/>
      <c r="S15" s="72"/>
      <c r="T15" s="72"/>
      <c r="U15" s="72"/>
      <c r="V15" s="69"/>
      <c r="W15" s="72"/>
      <c r="X15" s="72"/>
      <c r="Y15" s="72"/>
      <c r="Z15" s="72"/>
      <c r="AA15" s="70"/>
      <c r="AB15" s="69"/>
      <c r="AC15" s="69"/>
      <c r="AD15" s="71"/>
      <c r="AE15" s="69"/>
      <c r="AF15" s="69"/>
      <c r="AH15" s="69"/>
      <c r="AI15" s="72"/>
      <c r="AJ15" s="72"/>
      <c r="AK15" s="72"/>
      <c r="AL15" s="69"/>
      <c r="AM15" s="90"/>
      <c r="AN15" s="90"/>
      <c r="AO15" s="90"/>
      <c r="AP15" s="90"/>
      <c r="AQ15" s="90"/>
      <c r="AR15" s="90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</row>
    <row r="16" spans="1:63" s="85" customFormat="1" ht="15" customHeight="1" x14ac:dyDescent="0.35">
      <c r="A16" s="93"/>
      <c r="C16" s="72"/>
      <c r="D16" s="72"/>
      <c r="E16" s="56"/>
      <c r="F16" s="71"/>
      <c r="G16" s="69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56"/>
      <c r="S16" s="72"/>
      <c r="T16" s="72"/>
      <c r="U16" s="72"/>
      <c r="V16" s="69"/>
      <c r="W16" s="72"/>
      <c r="X16" s="72"/>
      <c r="Y16" s="72"/>
      <c r="Z16" s="72"/>
      <c r="AA16" s="70"/>
      <c r="AB16" s="69"/>
      <c r="AC16" s="69"/>
      <c r="AD16" s="71"/>
      <c r="AE16" s="69"/>
      <c r="AF16" s="69"/>
      <c r="AH16" s="69"/>
      <c r="AI16" s="72"/>
      <c r="AJ16" s="72"/>
      <c r="AK16" s="72"/>
      <c r="AL16" s="69"/>
      <c r="AM16" s="90"/>
      <c r="AN16" s="90"/>
      <c r="AO16" s="90"/>
      <c r="AP16" s="90"/>
      <c r="AQ16" s="90"/>
      <c r="AR16" s="90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</row>
    <row r="17" spans="1:59" s="85" customFormat="1" ht="15" customHeight="1" x14ac:dyDescent="0.35">
      <c r="A17" s="93"/>
      <c r="B17" s="69" t="str">
        <f>'Popis del_fasada'!B70</f>
        <v>ZEMELJSKA DELA</v>
      </c>
      <c r="C17" s="56"/>
      <c r="D17" s="86"/>
      <c r="E17" s="56"/>
      <c r="F17" s="71"/>
      <c r="G17" s="69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56"/>
      <c r="S17" s="72"/>
      <c r="T17" s="72"/>
      <c r="U17" s="72"/>
      <c r="V17" s="69"/>
      <c r="W17" s="72"/>
      <c r="X17" s="72"/>
      <c r="Y17" s="72"/>
      <c r="Z17" s="72"/>
      <c r="AA17" s="70"/>
      <c r="AB17" s="69"/>
      <c r="AC17" s="69"/>
      <c r="AD17" s="71"/>
      <c r="AE17" s="69"/>
      <c r="AF17" s="69"/>
      <c r="AH17" s="69"/>
      <c r="AI17" s="72"/>
      <c r="AJ17" s="72"/>
      <c r="AK17" s="72"/>
      <c r="AL17" s="69"/>
      <c r="AM17" s="90"/>
      <c r="AN17" s="90"/>
      <c r="AO17" s="90"/>
      <c r="AP17" s="90"/>
      <c r="AQ17" s="90"/>
      <c r="AR17" s="90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</row>
    <row r="18" spans="1:59" s="85" customFormat="1" ht="15" customHeight="1" x14ac:dyDescent="0.35">
      <c r="A18" s="93" t="str">
        <f>'Popis del_fasada'!A76</f>
        <v>3</v>
      </c>
      <c r="B18" s="69" t="s">
        <v>76</v>
      </c>
      <c r="C18" s="56">
        <f>0.5+9.32+0.5</f>
        <v>10.32</v>
      </c>
      <c r="D18" s="90">
        <v>0.5</v>
      </c>
      <c r="E18" s="56">
        <v>0.5</v>
      </c>
      <c r="F18" s="71"/>
      <c r="G18" s="69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56"/>
      <c r="S18" s="72">
        <f>C18*D18*E18</f>
        <v>2.58</v>
      </c>
      <c r="T18" s="72"/>
      <c r="U18" s="72"/>
      <c r="V18" s="69"/>
      <c r="W18" s="72"/>
      <c r="X18" s="72"/>
      <c r="Y18" s="72"/>
      <c r="Z18" s="72"/>
      <c r="AA18" s="70"/>
      <c r="AB18" s="69"/>
      <c r="AC18" s="69"/>
      <c r="AD18" s="71"/>
      <c r="AE18" s="69"/>
      <c r="AF18" s="69"/>
      <c r="AH18" s="69"/>
      <c r="AI18" s="72"/>
      <c r="AJ18" s="72"/>
      <c r="AK18" s="72"/>
      <c r="AL18" s="69"/>
      <c r="AM18" s="90"/>
      <c r="AN18" s="90"/>
      <c r="AO18" s="90"/>
      <c r="AP18" s="90"/>
      <c r="AQ18" s="90"/>
      <c r="AR18" s="90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</row>
    <row r="19" spans="1:59" s="85" customFormat="1" ht="15" customHeight="1" x14ac:dyDescent="0.35">
      <c r="A19" s="93">
        <v>2</v>
      </c>
      <c r="B19" s="69" t="s">
        <v>122</v>
      </c>
      <c r="C19" s="56">
        <f>0.5+9.32+0.5</f>
        <v>10.32</v>
      </c>
      <c r="D19" s="90">
        <v>0.5</v>
      </c>
      <c r="E19" s="56">
        <v>0.5</v>
      </c>
      <c r="F19" s="71"/>
      <c r="G19" s="69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56"/>
      <c r="S19" s="72"/>
      <c r="T19" s="72">
        <f>C19*D19*E19</f>
        <v>2.58</v>
      </c>
      <c r="U19" s="72"/>
      <c r="V19" s="69"/>
      <c r="W19" s="72"/>
      <c r="X19" s="72"/>
      <c r="Y19" s="72"/>
      <c r="Z19" s="72"/>
      <c r="AA19" s="70"/>
      <c r="AB19" s="69"/>
      <c r="AC19" s="69"/>
      <c r="AD19" s="71"/>
      <c r="AE19" s="69"/>
      <c r="AF19" s="69"/>
      <c r="AH19" s="69"/>
      <c r="AI19" s="72"/>
      <c r="AJ19" s="72"/>
      <c r="AK19" s="72"/>
      <c r="AL19" s="69"/>
      <c r="AM19" s="90"/>
      <c r="AN19" s="90"/>
      <c r="AO19" s="90"/>
      <c r="AP19" s="90"/>
      <c r="AQ19" s="90"/>
      <c r="AR19" s="90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</row>
    <row r="20" spans="1:59" s="85" customFormat="1" ht="15" customHeight="1" x14ac:dyDescent="0.35">
      <c r="A20" s="93"/>
      <c r="B20" s="56"/>
      <c r="C20" s="56"/>
      <c r="D20" s="86"/>
      <c r="E20" s="56"/>
      <c r="F20" s="71"/>
      <c r="G20" s="69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56"/>
      <c r="S20" s="72"/>
      <c r="T20" s="72"/>
      <c r="U20" s="72"/>
      <c r="V20" s="69"/>
      <c r="W20" s="72"/>
      <c r="X20" s="72"/>
      <c r="Y20" s="72"/>
      <c r="Z20" s="72"/>
      <c r="AA20" s="70"/>
      <c r="AB20" s="69"/>
      <c r="AC20" s="69"/>
      <c r="AD20" s="71"/>
      <c r="AE20" s="69"/>
      <c r="AF20" s="69"/>
      <c r="AH20" s="69"/>
      <c r="AI20" s="72"/>
      <c r="AJ20" s="72"/>
      <c r="AK20" s="72"/>
      <c r="AL20" s="69"/>
      <c r="AM20" s="90"/>
      <c r="AN20" s="90"/>
      <c r="AO20" s="90"/>
      <c r="AP20" s="90"/>
      <c r="AQ20" s="90"/>
      <c r="AR20" s="90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</row>
    <row r="21" spans="1:59" s="85" customFormat="1" ht="15" customHeight="1" x14ac:dyDescent="0.35">
      <c r="A21" s="93"/>
      <c r="B21" s="56"/>
      <c r="C21" s="56"/>
      <c r="D21" s="86"/>
      <c r="E21" s="56"/>
      <c r="F21" s="71"/>
      <c r="G21" s="69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56"/>
      <c r="S21" s="72"/>
      <c r="T21" s="72"/>
      <c r="U21" s="72"/>
      <c r="V21" s="69"/>
      <c r="W21" s="72"/>
      <c r="X21" s="72"/>
      <c r="Y21" s="72"/>
      <c r="Z21" s="72"/>
      <c r="AA21" s="70"/>
      <c r="AB21" s="69"/>
      <c r="AC21" s="69"/>
      <c r="AD21" s="71"/>
      <c r="AE21" s="69"/>
      <c r="AF21" s="69"/>
      <c r="AH21" s="69"/>
      <c r="AI21" s="72"/>
      <c r="AJ21" s="72"/>
      <c r="AK21" s="72"/>
      <c r="AL21" s="69"/>
      <c r="AM21" s="90"/>
      <c r="AN21" s="90"/>
      <c r="AO21" s="90"/>
      <c r="AP21" s="90"/>
      <c r="AQ21" s="90"/>
      <c r="AR21" s="90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</row>
    <row r="22" spans="1:59" s="85" customFormat="1" ht="15" customHeight="1" x14ac:dyDescent="0.35">
      <c r="A22" s="93"/>
      <c r="B22" s="70" t="str">
        <f>'Popis del_fasada'!B84</f>
        <v>ZIDARSKA DELA</v>
      </c>
      <c r="C22" s="56"/>
      <c r="D22" s="86"/>
      <c r="E22" s="56"/>
      <c r="F22" s="71"/>
      <c r="G22" s="69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56"/>
      <c r="S22" s="72"/>
      <c r="T22" s="72"/>
      <c r="U22" s="72"/>
      <c r="V22" s="69"/>
      <c r="W22" s="72"/>
      <c r="X22" s="72"/>
      <c r="Y22" s="72"/>
      <c r="Z22" s="72"/>
      <c r="AA22" s="70"/>
      <c r="AB22" s="69"/>
      <c r="AC22" s="69"/>
      <c r="AD22" s="71"/>
      <c r="AE22" s="69"/>
      <c r="AF22" s="69"/>
      <c r="AH22" s="69"/>
      <c r="AI22" s="72"/>
      <c r="AJ22" s="72"/>
      <c r="AK22" s="72"/>
      <c r="AL22" s="69"/>
      <c r="AM22" s="90"/>
      <c r="AN22" s="90"/>
      <c r="AO22" s="90"/>
      <c r="AP22" s="90"/>
      <c r="AQ22" s="90"/>
      <c r="AR22" s="90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</row>
    <row r="23" spans="1:59" s="85" customFormat="1" ht="15" customHeight="1" x14ac:dyDescent="0.35">
      <c r="A23" s="93" t="str">
        <f>'Popis del_fasada'!A86</f>
        <v>1</v>
      </c>
      <c r="B23" s="70" t="s">
        <v>109</v>
      </c>
      <c r="C23" s="56">
        <v>9.32</v>
      </c>
      <c r="D23" s="90">
        <f>0.87+0.3</f>
        <v>1.17</v>
      </c>
      <c r="E23" s="56"/>
      <c r="F23" s="71"/>
      <c r="G23" s="69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56"/>
      <c r="S23" s="72"/>
      <c r="T23" s="72"/>
      <c r="U23" s="72"/>
      <c r="V23" s="69"/>
      <c r="W23" s="72">
        <f>C23*D23</f>
        <v>10.904399999999999</v>
      </c>
      <c r="X23" s="72"/>
      <c r="Y23" s="72"/>
      <c r="Z23" s="72"/>
      <c r="AA23" s="70"/>
      <c r="AB23" s="69"/>
      <c r="AC23" s="69"/>
      <c r="AD23" s="71"/>
      <c r="AE23" s="69"/>
      <c r="AF23" s="69"/>
      <c r="AH23" s="69"/>
      <c r="AI23" s="72"/>
      <c r="AJ23" s="72"/>
      <c r="AK23" s="72"/>
      <c r="AL23" s="69"/>
      <c r="AM23" s="90"/>
      <c r="AN23" s="90"/>
      <c r="AO23" s="90"/>
      <c r="AP23" s="90"/>
      <c r="AQ23" s="90"/>
      <c r="AR23" s="90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</row>
    <row r="24" spans="1:59" s="85" customFormat="1" ht="15" customHeight="1" x14ac:dyDescent="0.35">
      <c r="A24" s="93">
        <f>'Popis del_fasada'!A90</f>
        <v>3</v>
      </c>
      <c r="B24" s="70" t="s">
        <v>57</v>
      </c>
      <c r="E24" s="72"/>
      <c r="F24" s="72"/>
      <c r="G24" s="56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56"/>
      <c r="S24" s="72"/>
      <c r="T24" s="72"/>
      <c r="U24" s="72"/>
      <c r="V24" s="56"/>
      <c r="W24" s="72"/>
      <c r="X24" s="72"/>
      <c r="Y24" s="72"/>
      <c r="Z24" s="72"/>
      <c r="AA24" s="56"/>
      <c r="AB24" s="56"/>
      <c r="AC24" s="56"/>
      <c r="AD24" s="72"/>
      <c r="AE24" s="56"/>
      <c r="AF24" s="56"/>
      <c r="AH24" s="56"/>
      <c r="AI24" s="72"/>
      <c r="AJ24" s="72"/>
      <c r="AK24" s="72"/>
      <c r="AL24" s="56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101"/>
      <c r="BE24" s="101"/>
      <c r="BF24" s="101"/>
      <c r="BG24" s="101"/>
    </row>
    <row r="25" spans="1:59" s="85" customFormat="1" ht="15" customHeight="1" x14ac:dyDescent="0.35">
      <c r="A25" s="93"/>
      <c r="B25" s="69" t="s">
        <v>125</v>
      </c>
      <c r="C25" s="72">
        <v>9.32</v>
      </c>
      <c r="D25" s="72">
        <v>6.88</v>
      </c>
      <c r="E25" s="89"/>
      <c r="G25" s="56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56"/>
      <c r="S25" s="72"/>
      <c r="T25" s="72"/>
      <c r="U25" s="72"/>
      <c r="V25" s="56"/>
      <c r="W25" s="72"/>
      <c r="X25" s="72">
        <f>C25*D25</f>
        <v>64.121600000000001</v>
      </c>
      <c r="Y25" s="72"/>
      <c r="Z25" s="72"/>
      <c r="AA25" s="56"/>
      <c r="AB25" s="56"/>
      <c r="AC25" s="56"/>
      <c r="AD25" s="72"/>
      <c r="AE25" s="56"/>
      <c r="AF25" s="56"/>
      <c r="AH25" s="56"/>
      <c r="AI25" s="72"/>
      <c r="AJ25" s="72"/>
      <c r="AK25" s="72"/>
      <c r="AL25" s="56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101"/>
      <c r="BE25" s="101"/>
      <c r="BF25" s="101"/>
      <c r="BG25" s="101"/>
    </row>
    <row r="26" spans="1:59" s="85" customFormat="1" ht="15" customHeight="1" x14ac:dyDescent="0.35">
      <c r="A26" s="93"/>
      <c r="B26" s="69" t="s">
        <v>99</v>
      </c>
      <c r="C26" s="72">
        <v>9.32</v>
      </c>
      <c r="D26" s="72">
        <v>3.26</v>
      </c>
      <c r="E26" s="72"/>
      <c r="F26" s="72"/>
      <c r="G26" s="56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56"/>
      <c r="S26" s="72"/>
      <c r="T26" s="72"/>
      <c r="U26" s="72"/>
      <c r="V26" s="56"/>
      <c r="W26" s="72"/>
      <c r="X26" s="72">
        <f>(C26*D26)/2</f>
        <v>15.191599999999999</v>
      </c>
      <c r="Y26" s="72"/>
      <c r="Z26" s="72"/>
      <c r="AA26" s="56"/>
      <c r="AB26" s="56"/>
      <c r="AC26" s="56"/>
      <c r="AD26" s="72"/>
      <c r="AE26" s="56"/>
      <c r="AF26" s="56"/>
      <c r="AH26" s="56"/>
      <c r="AI26" s="72"/>
      <c r="AJ26" s="72"/>
      <c r="AK26" s="72"/>
      <c r="AL26" s="56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101"/>
      <c r="BE26" s="101"/>
      <c r="BF26" s="101"/>
      <c r="BG26" s="101"/>
    </row>
    <row r="27" spans="1:59" s="85" customFormat="1" ht="15" customHeight="1" x14ac:dyDescent="0.35">
      <c r="A27" s="93">
        <f>'Popis del_fasada'!A92</f>
        <v>4</v>
      </c>
      <c r="B27" s="69" t="s">
        <v>126</v>
      </c>
      <c r="C27" s="72">
        <v>9.32</v>
      </c>
      <c r="D27" s="72">
        <v>0.6</v>
      </c>
      <c r="E27" s="72"/>
      <c r="F27" s="72"/>
      <c r="G27" s="56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56"/>
      <c r="S27" s="72"/>
      <c r="T27" s="72"/>
      <c r="U27" s="72"/>
      <c r="V27" s="56"/>
      <c r="W27" s="72"/>
      <c r="X27" s="72"/>
      <c r="Y27" s="72">
        <f>C27*D27</f>
        <v>5.5919999999999996</v>
      </c>
      <c r="Z27" s="72"/>
      <c r="AA27" s="56"/>
      <c r="AB27" s="56"/>
      <c r="AC27" s="56"/>
      <c r="AD27" s="72"/>
      <c r="AE27" s="56"/>
      <c r="AF27" s="56"/>
      <c r="AH27" s="56"/>
      <c r="AI27" s="72"/>
      <c r="AJ27" s="72"/>
      <c r="AK27" s="72"/>
      <c r="AL27" s="56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101"/>
      <c r="BE27" s="101"/>
      <c r="BF27" s="101"/>
      <c r="BG27" s="101"/>
    </row>
    <row r="28" spans="1:59" s="85" customFormat="1" ht="15" customHeight="1" x14ac:dyDescent="0.35">
      <c r="A28" s="93">
        <f>'Popis del_fasada'!A96</f>
        <v>6</v>
      </c>
      <c r="B28" s="69" t="s">
        <v>131</v>
      </c>
      <c r="C28" s="72"/>
      <c r="D28" s="72"/>
      <c r="E28" s="72"/>
      <c r="F28" s="72"/>
      <c r="G28" s="56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56"/>
      <c r="S28" s="72"/>
      <c r="T28" s="72"/>
      <c r="U28" s="72"/>
      <c r="V28" s="56"/>
      <c r="W28" s="72"/>
      <c r="X28" s="72"/>
      <c r="Y28" s="72"/>
      <c r="Z28" s="72"/>
      <c r="AA28" s="56"/>
      <c r="AB28" s="56"/>
      <c r="AC28" s="56"/>
      <c r="AD28" s="72"/>
      <c r="AE28" s="56"/>
      <c r="AF28" s="56"/>
      <c r="AH28" s="56"/>
      <c r="AI28" s="72"/>
      <c r="AJ28" s="72"/>
      <c r="AK28" s="72"/>
      <c r="AL28" s="56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101"/>
      <c r="BE28" s="101"/>
      <c r="BF28" s="101"/>
      <c r="BG28" s="101"/>
    </row>
    <row r="29" spans="1:59" s="85" customFormat="1" ht="15" customHeight="1" x14ac:dyDescent="0.45">
      <c r="A29" s="93"/>
      <c r="B29" s="56" t="s">
        <v>238</v>
      </c>
      <c r="C29" s="72">
        <v>2.4900000000000002</v>
      </c>
      <c r="E29" s="72">
        <v>1</v>
      </c>
      <c r="G29" s="56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56"/>
      <c r="S29" s="72"/>
      <c r="T29" s="72"/>
      <c r="U29" s="72"/>
      <c r="V29" s="56"/>
      <c r="W29" s="72"/>
      <c r="X29" s="72"/>
      <c r="Y29" s="72"/>
      <c r="Z29" s="72"/>
      <c r="AA29" s="56"/>
      <c r="AB29" s="56">
        <f>(0.05+C29+0.05)*E29</f>
        <v>2.59</v>
      </c>
      <c r="AC29" s="56"/>
      <c r="AD29" s="72"/>
      <c r="AE29" s="56"/>
      <c r="AF29" s="56"/>
      <c r="AH29" s="56"/>
      <c r="AI29" s="72"/>
      <c r="AJ29" s="72"/>
      <c r="AK29" s="72"/>
      <c r="AL29" s="56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101"/>
      <c r="BE29" s="101"/>
      <c r="BF29" s="101"/>
      <c r="BG29" s="101"/>
    </row>
    <row r="30" spans="1:59" s="85" customFormat="1" ht="15" customHeight="1" x14ac:dyDescent="0.35">
      <c r="A30" s="93"/>
      <c r="B30" s="69"/>
      <c r="C30" s="72"/>
      <c r="D30" s="72"/>
      <c r="E30" s="72"/>
      <c r="F30" s="72"/>
      <c r="G30" s="56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56"/>
      <c r="S30" s="72"/>
      <c r="T30" s="72"/>
      <c r="U30" s="72"/>
      <c r="V30" s="56"/>
      <c r="W30" s="72"/>
      <c r="X30" s="72"/>
      <c r="Y30" s="72"/>
      <c r="Z30" s="72"/>
      <c r="AA30" s="56"/>
      <c r="AB30" s="56"/>
      <c r="AC30" s="56"/>
      <c r="AD30" s="72"/>
      <c r="AE30" s="56"/>
      <c r="AF30" s="56"/>
      <c r="AH30" s="56"/>
      <c r="AI30" s="72"/>
      <c r="AJ30" s="72"/>
      <c r="AK30" s="72"/>
      <c r="AL30" s="56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101"/>
      <c r="BE30" s="101"/>
      <c r="BF30" s="101"/>
      <c r="BG30" s="101"/>
    </row>
    <row r="31" spans="1:59" s="85" customFormat="1" ht="15" customHeight="1" x14ac:dyDescent="0.35">
      <c r="A31" s="93"/>
      <c r="B31" s="69"/>
      <c r="C31" s="72"/>
      <c r="D31" s="72"/>
      <c r="E31" s="72"/>
      <c r="F31" s="72"/>
      <c r="G31" s="56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56"/>
      <c r="S31" s="72"/>
      <c r="T31" s="72"/>
      <c r="U31" s="72"/>
      <c r="V31" s="56"/>
      <c r="W31" s="72"/>
      <c r="X31" s="72"/>
      <c r="Y31" s="72"/>
      <c r="Z31" s="72"/>
      <c r="AA31" s="56"/>
      <c r="AB31" s="56"/>
      <c r="AC31" s="56"/>
      <c r="AD31" s="72"/>
      <c r="AE31" s="56"/>
      <c r="AF31" s="56"/>
      <c r="AH31" s="56"/>
      <c r="AI31" s="72"/>
      <c r="AJ31" s="72"/>
      <c r="AK31" s="72"/>
      <c r="AL31" s="56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101"/>
      <c r="BE31" s="101"/>
      <c r="BF31" s="101"/>
      <c r="BG31" s="101"/>
    </row>
    <row r="32" spans="1:59" s="85" customFormat="1" ht="15" customHeight="1" x14ac:dyDescent="0.35">
      <c r="A32" s="93">
        <f>'Popis del_fasada'!A107</f>
        <v>11</v>
      </c>
      <c r="B32" s="69" t="s">
        <v>123</v>
      </c>
      <c r="C32" s="72">
        <f>0.5+9.32+0.5</f>
        <v>10.32</v>
      </c>
      <c r="D32" s="72"/>
      <c r="E32" s="72"/>
      <c r="F32" s="72"/>
      <c r="G32" s="56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56"/>
      <c r="S32" s="72"/>
      <c r="T32" s="72"/>
      <c r="U32" s="72"/>
      <c r="V32" s="56"/>
      <c r="W32" s="72"/>
      <c r="X32" s="72"/>
      <c r="Y32" s="72"/>
      <c r="Z32" s="72"/>
      <c r="AA32" s="56">
        <f>C32</f>
        <v>10.32</v>
      </c>
      <c r="AB32" s="56"/>
      <c r="AC32" s="56"/>
      <c r="AD32" s="72"/>
      <c r="AE32" s="56"/>
      <c r="AF32" s="56"/>
      <c r="AH32" s="56"/>
      <c r="AI32" s="72"/>
      <c r="AJ32" s="72"/>
      <c r="AK32" s="72"/>
      <c r="AL32" s="56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101"/>
      <c r="BE32" s="101"/>
      <c r="BF32" s="101"/>
      <c r="BG32" s="101"/>
    </row>
    <row r="33" spans="1:59" s="85" customFormat="1" ht="15" customHeight="1" x14ac:dyDescent="0.35">
      <c r="A33" s="93"/>
      <c r="B33" s="69"/>
      <c r="C33" s="72"/>
      <c r="D33" s="72"/>
      <c r="E33" s="72"/>
      <c r="F33" s="72"/>
      <c r="G33" s="56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56"/>
      <c r="S33" s="72"/>
      <c r="T33" s="72"/>
      <c r="U33" s="72"/>
      <c r="V33" s="56"/>
      <c r="W33" s="72"/>
      <c r="X33" s="72"/>
      <c r="Y33" s="72"/>
      <c r="Z33" s="72"/>
      <c r="AA33" s="56"/>
      <c r="AB33" s="56"/>
      <c r="AC33" s="56"/>
      <c r="AD33" s="72"/>
      <c r="AE33" s="56"/>
      <c r="AF33" s="56"/>
      <c r="AH33" s="56"/>
      <c r="AI33" s="72"/>
      <c r="AJ33" s="72"/>
      <c r="AK33" s="72"/>
      <c r="AL33" s="56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101"/>
      <c r="BE33" s="101"/>
      <c r="BF33" s="101"/>
      <c r="BG33" s="101"/>
    </row>
    <row r="34" spans="1:59" s="85" customFormat="1" ht="15" customHeight="1" x14ac:dyDescent="0.35">
      <c r="A34" s="93"/>
      <c r="B34" s="69" t="str">
        <f>'Popis del_fasada'!B128</f>
        <v>TESARSKA DELA</v>
      </c>
      <c r="C34" s="72"/>
      <c r="D34" s="72"/>
      <c r="E34" s="72"/>
      <c r="F34" s="72"/>
      <c r="G34" s="56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56"/>
      <c r="S34" s="72"/>
      <c r="T34" s="72"/>
      <c r="U34" s="72"/>
      <c r="V34" s="56"/>
      <c r="W34" s="72"/>
      <c r="X34" s="72"/>
      <c r="Y34" s="72"/>
      <c r="Z34" s="72"/>
      <c r="AA34" s="56"/>
      <c r="AB34" s="56"/>
      <c r="AC34" s="56"/>
      <c r="AD34" s="72"/>
      <c r="AE34" s="56"/>
      <c r="AF34" s="56"/>
      <c r="AH34" s="56"/>
      <c r="AI34" s="72"/>
      <c r="AJ34" s="72"/>
      <c r="AK34" s="72"/>
      <c r="AL34" s="56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101"/>
      <c r="BE34" s="101"/>
      <c r="BF34" s="101"/>
      <c r="BG34" s="101"/>
    </row>
    <row r="35" spans="1:59" s="85" customFormat="1" ht="15" customHeight="1" x14ac:dyDescent="0.35">
      <c r="A35" s="93" t="str">
        <f>'Popis del_fasada'!A130</f>
        <v>1</v>
      </c>
      <c r="B35" s="69" t="s">
        <v>21</v>
      </c>
      <c r="C35" s="72">
        <f>0.8+0.3+9.32+0.3+0.8</f>
        <v>11.520000000000001</v>
      </c>
      <c r="D35" s="72">
        <f>11-0.8</f>
        <v>10.199999999999999</v>
      </c>
      <c r="E35" s="72"/>
      <c r="F35" s="72"/>
      <c r="G35" s="56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56"/>
      <c r="S35" s="72"/>
      <c r="T35" s="72"/>
      <c r="U35" s="72"/>
      <c r="V35" s="56"/>
      <c r="W35" s="72"/>
      <c r="X35" s="72"/>
      <c r="Y35" s="72"/>
      <c r="Z35" s="72"/>
      <c r="AA35" s="56"/>
      <c r="AB35" s="56"/>
      <c r="AC35" s="56"/>
      <c r="AD35" s="72"/>
      <c r="AE35" s="56"/>
      <c r="AF35" s="56"/>
      <c r="AH35" s="56"/>
      <c r="AI35" s="72">
        <f>C35*D35</f>
        <v>117.504</v>
      </c>
      <c r="AJ35" s="72"/>
      <c r="AK35" s="72"/>
      <c r="AL35" s="56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101"/>
      <c r="BE35" s="101"/>
      <c r="BF35" s="101"/>
      <c r="BG35" s="101"/>
    </row>
    <row r="36" spans="1:59" s="85" customFormat="1" ht="15" customHeight="1" x14ac:dyDescent="0.35"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S36" s="143"/>
      <c r="T36" s="143"/>
      <c r="U36" s="143"/>
      <c r="W36" s="72"/>
      <c r="X36" s="72"/>
      <c r="Y36" s="72"/>
      <c r="Z36" s="72"/>
      <c r="AA36" s="56"/>
      <c r="AB36" s="56"/>
      <c r="AC36" s="56"/>
      <c r="AD36" s="72"/>
      <c r="AE36" s="56"/>
      <c r="AF36" s="56"/>
      <c r="AH36" s="56"/>
      <c r="AI36" s="143"/>
      <c r="AJ36" s="143"/>
      <c r="AK36" s="72"/>
      <c r="AL36" s="56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101"/>
      <c r="BE36" s="101"/>
      <c r="BF36" s="101"/>
      <c r="BG36" s="101"/>
    </row>
    <row r="37" spans="1:59" s="85" customFormat="1" ht="15" customHeight="1" x14ac:dyDescent="0.35">
      <c r="A37" s="93"/>
      <c r="C37" s="72"/>
      <c r="D37" s="72"/>
      <c r="E37" s="72"/>
      <c r="F37" s="72"/>
      <c r="G37" s="56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56"/>
      <c r="S37" s="72"/>
      <c r="T37" s="72"/>
      <c r="U37" s="72"/>
      <c r="V37" s="56"/>
      <c r="W37" s="72"/>
      <c r="X37" s="72"/>
      <c r="Y37" s="72"/>
      <c r="Z37" s="72"/>
      <c r="AA37" s="56"/>
      <c r="AB37" s="56"/>
      <c r="AC37" s="56"/>
      <c r="AD37" s="72"/>
      <c r="AE37" s="56"/>
      <c r="AF37" s="56"/>
      <c r="AH37" s="56"/>
      <c r="AI37" s="72"/>
      <c r="AJ37" s="72"/>
      <c r="AK37" s="72"/>
      <c r="AL37" s="56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101"/>
      <c r="BE37" s="101"/>
      <c r="BF37" s="101"/>
      <c r="BG37" s="101"/>
    </row>
    <row r="38" spans="1:59" s="85" customFormat="1" ht="15" customHeight="1" x14ac:dyDescent="0.35">
      <c r="A38" s="93"/>
      <c r="B38" s="69" t="str">
        <f>'Popis del_fasada'!B136</f>
        <v>FASADERSKA DELA</v>
      </c>
      <c r="C38" s="72"/>
      <c r="D38" s="72"/>
      <c r="E38" s="72"/>
      <c r="F38" s="72"/>
      <c r="G38" s="56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56"/>
      <c r="S38" s="72"/>
      <c r="T38" s="72"/>
      <c r="U38" s="72"/>
      <c r="V38" s="56"/>
      <c r="W38" s="72"/>
      <c r="X38" s="72"/>
      <c r="Y38" s="72"/>
      <c r="Z38" s="72"/>
      <c r="AA38" s="56"/>
      <c r="AB38" s="56"/>
      <c r="AC38" s="56"/>
      <c r="AD38" s="72"/>
      <c r="AE38" s="56"/>
      <c r="AF38" s="56"/>
      <c r="AH38" s="56"/>
      <c r="AI38" s="72"/>
      <c r="AJ38" s="72"/>
      <c r="AK38" s="72"/>
      <c r="AL38" s="56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101"/>
      <c r="BE38" s="101"/>
      <c r="BF38" s="101"/>
      <c r="BG38" s="101"/>
    </row>
    <row r="39" spans="1:59" s="85" customFormat="1" ht="15" customHeight="1" x14ac:dyDescent="0.35">
      <c r="A39" s="93"/>
      <c r="B39" s="69"/>
      <c r="C39" s="72"/>
      <c r="D39" s="72"/>
      <c r="E39" s="72"/>
      <c r="F39" s="72"/>
      <c r="G39" s="56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56"/>
      <c r="S39" s="72"/>
      <c r="T39" s="72"/>
      <c r="U39" s="72"/>
      <c r="V39" s="56"/>
      <c r="W39" s="72"/>
      <c r="X39" s="72"/>
      <c r="Y39" s="72"/>
      <c r="Z39" s="72"/>
      <c r="AA39" s="56"/>
      <c r="AB39" s="56"/>
      <c r="AC39" s="56"/>
      <c r="AD39" s="72"/>
      <c r="AE39" s="56"/>
      <c r="AF39" s="56"/>
      <c r="AH39" s="56"/>
      <c r="AI39" s="72"/>
      <c r="AJ39" s="72"/>
      <c r="AK39" s="72"/>
      <c r="AL39" s="56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101"/>
      <c r="BE39" s="101"/>
      <c r="BF39" s="101"/>
      <c r="BG39" s="101"/>
    </row>
    <row r="40" spans="1:59" s="85" customFormat="1" ht="15" customHeight="1" x14ac:dyDescent="0.35">
      <c r="A40" s="93" t="str">
        <f>'Popis del_fasada'!A141</f>
        <v>1</v>
      </c>
      <c r="B40" s="69" t="s">
        <v>110</v>
      </c>
      <c r="C40" s="72">
        <v>9.32</v>
      </c>
      <c r="D40" s="72">
        <f>0.87+0.3</f>
        <v>1.17</v>
      </c>
      <c r="E40" s="72"/>
      <c r="F40" s="72"/>
      <c r="G40" s="56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56"/>
      <c r="S40" s="72"/>
      <c r="T40" s="72"/>
      <c r="U40" s="72"/>
      <c r="V40" s="56"/>
      <c r="W40" s="72"/>
      <c r="X40" s="72"/>
      <c r="Y40" s="72"/>
      <c r="Z40" s="72"/>
      <c r="AA40" s="56"/>
      <c r="AB40" s="56"/>
      <c r="AC40" s="56"/>
      <c r="AD40" s="72"/>
      <c r="AE40" s="56"/>
      <c r="AF40" s="56"/>
      <c r="AH40" s="56"/>
      <c r="AI40" s="72"/>
      <c r="AJ40" s="72"/>
      <c r="AK40" s="72"/>
      <c r="AL40" s="56"/>
      <c r="AM40" s="72">
        <f>C40*D40</f>
        <v>10.904399999999999</v>
      </c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101"/>
      <c r="BE40" s="101"/>
      <c r="BF40" s="101"/>
      <c r="BG40" s="101"/>
    </row>
    <row r="41" spans="1:59" s="85" customFormat="1" ht="15" customHeight="1" x14ac:dyDescent="0.35">
      <c r="A41" s="93"/>
      <c r="B41" s="69"/>
      <c r="C41" s="72"/>
      <c r="D41" s="72"/>
      <c r="E41" s="72"/>
      <c r="F41" s="72"/>
      <c r="G41" s="56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56"/>
      <c r="S41" s="72"/>
      <c r="T41" s="72"/>
      <c r="U41" s="72"/>
      <c r="V41" s="56"/>
      <c r="W41" s="72"/>
      <c r="X41" s="72"/>
      <c r="Y41" s="72"/>
      <c r="Z41" s="72"/>
      <c r="AA41" s="56"/>
      <c r="AB41" s="56"/>
      <c r="AC41" s="56"/>
      <c r="AD41" s="72"/>
      <c r="AE41" s="56"/>
      <c r="AF41" s="56"/>
      <c r="AH41" s="56"/>
      <c r="AI41" s="72"/>
      <c r="AJ41" s="72"/>
      <c r="AK41" s="72"/>
      <c r="AL41" s="56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101"/>
      <c r="BE41" s="101"/>
      <c r="BF41" s="101"/>
      <c r="BG41" s="101"/>
    </row>
    <row r="42" spans="1:59" s="85" customFormat="1" ht="15" customHeight="1" x14ac:dyDescent="0.35">
      <c r="A42" s="93" t="str">
        <f>'Popis del_fasada'!A143</f>
        <v>2</v>
      </c>
      <c r="B42" s="69" t="s">
        <v>111</v>
      </c>
      <c r="C42" s="72"/>
      <c r="D42" s="72"/>
      <c r="E42" s="72"/>
      <c r="F42" s="72"/>
      <c r="G42" s="56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56"/>
      <c r="S42" s="72"/>
      <c r="T42" s="72"/>
      <c r="U42" s="72"/>
      <c r="V42" s="56"/>
      <c r="W42" s="72"/>
      <c r="X42" s="72"/>
      <c r="Y42" s="72"/>
      <c r="Z42" s="72"/>
      <c r="AA42" s="56"/>
      <c r="AB42" s="56"/>
      <c r="AC42" s="56"/>
      <c r="AD42" s="72"/>
      <c r="AE42" s="56"/>
      <c r="AF42" s="56"/>
      <c r="AH42" s="56"/>
      <c r="AI42" s="72"/>
      <c r="AJ42" s="72"/>
      <c r="AK42" s="72"/>
      <c r="AL42" s="56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101"/>
      <c r="BE42" s="101"/>
      <c r="BF42" s="101"/>
      <c r="BG42" s="101"/>
    </row>
    <row r="43" spans="1:59" s="85" customFormat="1" ht="15" customHeight="1" x14ac:dyDescent="0.35">
      <c r="A43" s="93"/>
      <c r="B43" s="69" t="s">
        <v>125</v>
      </c>
      <c r="C43" s="72">
        <v>9.32</v>
      </c>
      <c r="D43" s="72">
        <v>6.88</v>
      </c>
      <c r="E43" s="72"/>
      <c r="F43" s="72"/>
      <c r="G43" s="56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56"/>
      <c r="S43" s="72"/>
      <c r="T43" s="72"/>
      <c r="U43" s="72"/>
      <c r="V43" s="56"/>
      <c r="W43" s="72"/>
      <c r="X43" s="72"/>
      <c r="Y43" s="72"/>
      <c r="Z43" s="72"/>
      <c r="AA43" s="56"/>
      <c r="AB43" s="56"/>
      <c r="AC43" s="56"/>
      <c r="AD43" s="72"/>
      <c r="AE43" s="56"/>
      <c r="AF43" s="56"/>
      <c r="AH43" s="56"/>
      <c r="AI43" s="72"/>
      <c r="AJ43" s="72"/>
      <c r="AK43" s="72"/>
      <c r="AL43" s="56"/>
      <c r="AM43" s="72"/>
      <c r="AN43" s="72">
        <f>C43*D43</f>
        <v>64.121600000000001</v>
      </c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101"/>
      <c r="BE43" s="101"/>
      <c r="BF43" s="101"/>
      <c r="BG43" s="101"/>
    </row>
    <row r="44" spans="1:59" s="85" customFormat="1" ht="15" customHeight="1" x14ac:dyDescent="0.35">
      <c r="A44" s="93"/>
      <c r="B44" s="69" t="s">
        <v>99</v>
      </c>
      <c r="C44" s="72">
        <v>9.32</v>
      </c>
      <c r="D44" s="72">
        <v>3.26</v>
      </c>
      <c r="E44" s="89"/>
      <c r="F44" s="72"/>
      <c r="G44" s="56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56"/>
      <c r="S44" s="72"/>
      <c r="T44" s="72"/>
      <c r="U44" s="72"/>
      <c r="V44" s="56"/>
      <c r="W44" s="72"/>
      <c r="X44" s="72"/>
      <c r="Y44" s="72"/>
      <c r="Z44" s="72"/>
      <c r="AA44" s="56"/>
      <c r="AB44" s="56"/>
      <c r="AC44" s="56"/>
      <c r="AD44" s="72"/>
      <c r="AE44" s="56"/>
      <c r="AF44" s="56"/>
      <c r="AH44" s="56"/>
      <c r="AI44" s="72"/>
      <c r="AJ44" s="72"/>
      <c r="AK44" s="72"/>
      <c r="AL44" s="56"/>
      <c r="AM44" s="72"/>
      <c r="AN44" s="72">
        <f>(C44*D44)/2</f>
        <v>15.191599999999999</v>
      </c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101"/>
      <c r="BE44" s="101"/>
      <c r="BF44" s="101"/>
      <c r="BG44" s="101"/>
    </row>
    <row r="45" spans="1:59" s="85" customFormat="1" ht="15" customHeight="1" x14ac:dyDescent="0.35">
      <c r="A45" s="93"/>
      <c r="B45" s="69"/>
      <c r="C45" s="72"/>
      <c r="D45" s="89"/>
      <c r="E45" s="89"/>
      <c r="F45" s="89"/>
      <c r="G45" s="56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56"/>
      <c r="S45" s="72"/>
      <c r="T45" s="72"/>
      <c r="U45" s="72"/>
      <c r="V45" s="56"/>
      <c r="W45" s="72"/>
      <c r="X45" s="72"/>
      <c r="Y45" s="72"/>
      <c r="Z45" s="72"/>
      <c r="AA45" s="56"/>
      <c r="AB45" s="56"/>
      <c r="AC45" s="56"/>
      <c r="AD45" s="72"/>
      <c r="AE45" s="56"/>
      <c r="AF45" s="56"/>
      <c r="AH45" s="56"/>
      <c r="AI45" s="72"/>
      <c r="AJ45" s="72"/>
      <c r="AK45" s="72"/>
      <c r="AL45" s="56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101"/>
      <c r="BE45" s="101"/>
      <c r="BF45" s="101"/>
      <c r="BG45" s="101"/>
    </row>
    <row r="46" spans="1:59" s="85" customFormat="1" ht="15" customHeight="1" x14ac:dyDescent="0.35">
      <c r="A46" s="93" t="str">
        <f>'Popis del_fasada'!A145</f>
        <v>3</v>
      </c>
      <c r="B46" s="69" t="s">
        <v>112</v>
      </c>
      <c r="C46" s="72"/>
      <c r="D46" s="72"/>
      <c r="E46" s="89"/>
      <c r="F46" s="72"/>
      <c r="G46" s="56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56"/>
      <c r="S46" s="72"/>
      <c r="T46" s="72"/>
      <c r="U46" s="72"/>
      <c r="V46" s="56"/>
      <c r="W46" s="72"/>
      <c r="X46" s="72"/>
      <c r="Y46" s="72"/>
      <c r="Z46" s="72"/>
      <c r="AA46" s="56"/>
      <c r="AB46" s="56"/>
      <c r="AC46" s="56"/>
      <c r="AD46" s="72"/>
      <c r="AE46" s="56"/>
      <c r="AF46" s="56"/>
      <c r="AH46" s="56"/>
      <c r="AI46" s="72"/>
      <c r="AJ46" s="72"/>
      <c r="AK46" s="72"/>
      <c r="AL46" s="56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101"/>
      <c r="BE46" s="101"/>
      <c r="BF46" s="101"/>
      <c r="BG46" s="101"/>
    </row>
    <row r="47" spans="1:59" s="85" customFormat="1" ht="15" customHeight="1" x14ac:dyDescent="0.45">
      <c r="A47" s="93"/>
      <c r="B47" s="56" t="s">
        <v>238</v>
      </c>
      <c r="C47" s="72">
        <v>2.4900000000000002</v>
      </c>
      <c r="D47" s="72">
        <v>1.4</v>
      </c>
      <c r="E47" s="56">
        <v>1</v>
      </c>
      <c r="F47" s="72">
        <f>0.35-0.2</f>
        <v>0.14999999999999997</v>
      </c>
      <c r="G47" s="56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56"/>
      <c r="S47" s="72"/>
      <c r="T47" s="72"/>
      <c r="U47" s="72"/>
      <c r="V47" s="56"/>
      <c r="W47" s="72"/>
      <c r="X47" s="72"/>
      <c r="Y47" s="72"/>
      <c r="Z47" s="72"/>
      <c r="AA47" s="56"/>
      <c r="AC47" s="56"/>
      <c r="AD47" s="72"/>
      <c r="AE47" s="56"/>
      <c r="AF47" s="56"/>
      <c r="AH47" s="56"/>
      <c r="AI47" s="72"/>
      <c r="AJ47" s="72"/>
      <c r="AK47" s="72"/>
      <c r="AL47" s="56"/>
      <c r="AM47" s="72"/>
      <c r="AN47" s="90">
        <f>-C47*D47*E47</f>
        <v>-3.4860000000000002</v>
      </c>
      <c r="AO47" s="72">
        <f>(C47+2*D47)*E47*$C$6</f>
        <v>0.68769999999999998</v>
      </c>
      <c r="AP47" s="72">
        <f>(C47+2*D47)*E47*F47</f>
        <v>0.79349999999999987</v>
      </c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56"/>
      <c r="BD47" s="101"/>
      <c r="BE47" s="101"/>
      <c r="BF47" s="101"/>
      <c r="BG47" s="101"/>
    </row>
    <row r="48" spans="1:59" s="85" customFormat="1" ht="15" customHeight="1" x14ac:dyDescent="0.35">
      <c r="A48" s="93">
        <f>'Popis del_fasada'!A149</f>
        <v>5</v>
      </c>
      <c r="B48" s="69" t="s">
        <v>120</v>
      </c>
      <c r="C48" s="56">
        <f>C4+9.32+C4</f>
        <v>9.6000000000000014</v>
      </c>
      <c r="D48" s="56">
        <f>(11.01+7.75)/2</f>
        <v>9.379999999999999</v>
      </c>
      <c r="E48" s="56"/>
      <c r="F48" s="56"/>
      <c r="G48" s="56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56"/>
      <c r="S48" s="72"/>
      <c r="T48" s="72"/>
      <c r="U48" s="72"/>
      <c r="V48" s="56"/>
      <c r="W48" s="72"/>
      <c r="X48" s="72"/>
      <c r="Y48" s="72"/>
      <c r="Z48" s="72"/>
      <c r="AA48" s="56"/>
      <c r="AC48" s="56"/>
      <c r="AD48" s="72"/>
      <c r="AE48" s="56"/>
      <c r="AF48" s="56"/>
      <c r="AH48" s="56"/>
      <c r="AI48" s="72"/>
      <c r="AJ48" s="72"/>
      <c r="AK48" s="72"/>
      <c r="AL48" s="56"/>
      <c r="AM48" s="72"/>
      <c r="AN48" s="72"/>
      <c r="AO48" s="72"/>
      <c r="AP48" s="72">
        <f>C48*D48</f>
        <v>90.048000000000002</v>
      </c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56"/>
      <c r="BD48" s="101"/>
      <c r="BE48" s="101"/>
      <c r="BF48" s="101"/>
      <c r="BG48" s="101"/>
    </row>
    <row r="49" spans="1:59" s="85" customFormat="1" ht="15" customHeight="1" x14ac:dyDescent="0.35">
      <c r="A49" s="93"/>
      <c r="B49" s="69"/>
      <c r="C49" s="56"/>
      <c r="D49" s="56"/>
      <c r="E49" s="56"/>
      <c r="F49" s="56"/>
      <c r="G49" s="56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56"/>
      <c r="S49" s="72"/>
      <c r="T49" s="72"/>
      <c r="U49" s="72"/>
      <c r="V49" s="56"/>
      <c r="W49" s="72"/>
      <c r="X49" s="72"/>
      <c r="Y49" s="72"/>
      <c r="Z49" s="72"/>
      <c r="AA49" s="56"/>
      <c r="AC49" s="56"/>
      <c r="AD49" s="72"/>
      <c r="AE49" s="56"/>
      <c r="AF49" s="56"/>
      <c r="AH49" s="56"/>
      <c r="AI49" s="72"/>
      <c r="AJ49" s="72"/>
      <c r="AK49" s="72"/>
      <c r="AL49" s="56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56"/>
      <c r="BD49" s="101"/>
      <c r="BE49" s="101"/>
      <c r="BF49" s="101"/>
      <c r="BG49" s="101"/>
    </row>
    <row r="50" spans="1:59" s="85" customFormat="1" ht="15" customHeight="1" x14ac:dyDescent="0.35">
      <c r="A50" s="93"/>
      <c r="B50" s="69"/>
      <c r="C50" s="56"/>
      <c r="D50" s="56"/>
      <c r="E50" s="56"/>
      <c r="F50" s="56"/>
      <c r="G50" s="56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56"/>
      <c r="S50" s="72"/>
      <c r="T50" s="72"/>
      <c r="U50" s="72"/>
      <c r="V50" s="56"/>
      <c r="W50" s="72"/>
      <c r="X50" s="72"/>
      <c r="Y50" s="72"/>
      <c r="Z50" s="72"/>
      <c r="AA50" s="56"/>
      <c r="AB50" s="56"/>
      <c r="AC50" s="56"/>
      <c r="AD50" s="72"/>
      <c r="AE50" s="56"/>
      <c r="AF50" s="56"/>
      <c r="AH50" s="56"/>
      <c r="AI50" s="72"/>
      <c r="AJ50" s="72"/>
      <c r="AK50" s="72"/>
      <c r="AL50" s="56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56"/>
      <c r="BD50" s="101"/>
      <c r="BE50" s="101"/>
      <c r="BF50" s="101"/>
      <c r="BG50" s="101"/>
    </row>
    <row r="51" spans="1:59" s="85" customFormat="1" ht="15" customHeight="1" x14ac:dyDescent="0.35">
      <c r="A51" s="93"/>
      <c r="B51" s="88" t="s">
        <v>117</v>
      </c>
      <c r="C51" s="56"/>
      <c r="D51" s="56"/>
      <c r="E51" s="56"/>
      <c r="F51" s="56"/>
      <c r="G51" s="56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56"/>
      <c r="S51" s="72"/>
      <c r="T51" s="72"/>
      <c r="U51" s="72"/>
      <c r="V51" s="56"/>
      <c r="W51" s="72"/>
      <c r="X51" s="72"/>
      <c r="Y51" s="72"/>
      <c r="Z51" s="72"/>
      <c r="AA51" s="56"/>
      <c r="AB51" s="56"/>
      <c r="AC51" s="56"/>
      <c r="AD51" s="72"/>
      <c r="AE51" s="56"/>
      <c r="AF51" s="56"/>
      <c r="AH51" s="56"/>
      <c r="AI51" s="72"/>
      <c r="AJ51" s="72"/>
      <c r="AK51" s="72"/>
      <c r="AL51" s="56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101"/>
      <c r="BE51" s="101"/>
      <c r="BF51" s="101"/>
      <c r="BG51" s="101"/>
    </row>
    <row r="52" spans="1:59" s="85" customFormat="1" ht="15" customHeight="1" x14ac:dyDescent="0.35">
      <c r="A52" s="93"/>
      <c r="B52" s="69"/>
      <c r="C52" s="56"/>
      <c r="D52" s="56"/>
      <c r="E52" s="56"/>
      <c r="F52" s="56"/>
      <c r="G52" s="56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56"/>
      <c r="S52" s="72"/>
      <c r="T52" s="72"/>
      <c r="U52" s="72"/>
      <c r="V52" s="56"/>
      <c r="W52" s="72"/>
      <c r="X52" s="72"/>
      <c r="Y52" s="72"/>
      <c r="Z52" s="72"/>
      <c r="AA52" s="56"/>
      <c r="AB52" s="56"/>
      <c r="AC52" s="56"/>
      <c r="AD52" s="72"/>
      <c r="AE52" s="56"/>
      <c r="AF52" s="56"/>
      <c r="AH52" s="56"/>
      <c r="AI52" s="72"/>
      <c r="AJ52" s="72"/>
      <c r="AK52" s="72"/>
      <c r="AL52" s="56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101"/>
      <c r="BE52" s="101"/>
      <c r="BF52" s="101"/>
      <c r="BG52" s="101"/>
    </row>
    <row r="53" spans="1:59" s="85" customFormat="1" ht="15" customHeight="1" x14ac:dyDescent="0.35">
      <c r="A53" s="93"/>
      <c r="B53" s="69"/>
      <c r="C53" s="56"/>
      <c r="D53" s="56"/>
      <c r="E53" s="56"/>
      <c r="F53" s="56"/>
      <c r="G53" s="56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56"/>
      <c r="S53" s="72"/>
      <c r="T53" s="72"/>
      <c r="U53" s="72"/>
      <c r="V53" s="56"/>
      <c r="W53" s="72"/>
      <c r="X53" s="72"/>
      <c r="Y53" s="72"/>
      <c r="Z53" s="72"/>
      <c r="AA53" s="56"/>
      <c r="AB53" s="56"/>
      <c r="AC53" s="56"/>
      <c r="AD53" s="72"/>
      <c r="AE53" s="56"/>
      <c r="AF53" s="56"/>
      <c r="AH53" s="56"/>
      <c r="AI53" s="72"/>
      <c r="AJ53" s="72"/>
      <c r="AK53" s="72"/>
      <c r="AL53" s="56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101"/>
      <c r="BE53" s="101"/>
      <c r="BF53" s="101"/>
      <c r="BG53" s="101"/>
    </row>
    <row r="54" spans="1:59" s="85" customFormat="1" ht="15" customHeight="1" x14ac:dyDescent="0.35">
      <c r="A54" s="93"/>
      <c r="B54" s="69" t="str">
        <f>'Popis del_fasada'!B27</f>
        <v>RUŠITVENA IN ODSTRANITVENA DELA</v>
      </c>
      <c r="C54" s="56"/>
      <c r="D54" s="56"/>
      <c r="E54" s="56"/>
      <c r="F54" s="56"/>
      <c r="G54" s="56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56"/>
      <c r="S54" s="72"/>
      <c r="T54" s="72"/>
      <c r="U54" s="72"/>
      <c r="V54" s="56"/>
      <c r="W54" s="72"/>
      <c r="X54" s="72"/>
      <c r="Y54" s="72"/>
      <c r="Z54" s="72"/>
      <c r="AA54" s="56"/>
      <c r="AB54" s="56"/>
      <c r="AC54" s="56"/>
      <c r="AD54" s="72"/>
      <c r="AE54" s="56"/>
      <c r="AF54" s="56"/>
      <c r="AH54" s="56"/>
      <c r="AI54" s="72"/>
      <c r="AJ54" s="72"/>
      <c r="AK54" s="72"/>
      <c r="AL54" s="56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56"/>
      <c r="BD54" s="101"/>
      <c r="BE54" s="101"/>
      <c r="BF54" s="101"/>
      <c r="BG54" s="101"/>
    </row>
    <row r="55" spans="1:59" s="85" customFormat="1" ht="15" customHeight="1" x14ac:dyDescent="0.35">
      <c r="A55" s="93" t="str">
        <f>'Popis del_fasada'!A74</f>
        <v>2</v>
      </c>
      <c r="B55" s="69" t="s">
        <v>116</v>
      </c>
      <c r="C55" s="90">
        <v>11.03</v>
      </c>
      <c r="D55" s="90">
        <v>0.8</v>
      </c>
      <c r="E55" s="71"/>
      <c r="F55" s="71"/>
      <c r="G55" s="69"/>
      <c r="H55" s="72"/>
      <c r="I55" s="72">
        <f>C55*D55</f>
        <v>8.8239999999999998</v>
      </c>
      <c r="J55" s="72"/>
      <c r="K55" s="72"/>
      <c r="L55" s="72"/>
      <c r="M55" s="72"/>
      <c r="N55" s="72"/>
      <c r="O55" s="72"/>
      <c r="P55" s="72"/>
      <c r="Q55" s="72"/>
      <c r="R55" s="56"/>
      <c r="S55" s="72"/>
      <c r="T55" s="72"/>
      <c r="U55" s="72"/>
      <c r="V55" s="56"/>
      <c r="W55" s="72"/>
      <c r="X55" s="72"/>
      <c r="Y55" s="72"/>
      <c r="Z55" s="72"/>
      <c r="AA55" s="56"/>
      <c r="AB55" s="56"/>
      <c r="AC55" s="56"/>
      <c r="AD55" s="72"/>
      <c r="AE55" s="56"/>
      <c r="AF55" s="56"/>
      <c r="AH55" s="56"/>
      <c r="AI55" s="72"/>
      <c r="AJ55" s="72"/>
      <c r="AK55" s="72"/>
      <c r="AL55" s="56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56"/>
      <c r="BD55" s="101"/>
      <c r="BE55" s="101"/>
      <c r="BF55" s="101"/>
      <c r="BG55" s="101"/>
    </row>
    <row r="56" spans="1:59" s="85" customFormat="1" ht="15" customHeight="1" x14ac:dyDescent="0.35">
      <c r="A56" s="93" t="str">
        <f>'Popis del_fasada'!A31</f>
        <v>1</v>
      </c>
      <c r="B56" s="69" t="s">
        <v>32</v>
      </c>
      <c r="C56" s="86"/>
      <c r="D56" s="86"/>
      <c r="E56" s="71"/>
      <c r="F56" s="71"/>
      <c r="G56" s="69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56"/>
      <c r="S56" s="72"/>
      <c r="T56" s="72"/>
      <c r="U56" s="72"/>
      <c r="V56" s="56"/>
      <c r="W56" s="72"/>
      <c r="X56" s="72"/>
      <c r="Y56" s="72"/>
      <c r="Z56" s="72"/>
      <c r="AA56" s="56"/>
      <c r="AB56" s="56"/>
      <c r="AC56" s="56"/>
      <c r="AD56" s="72"/>
      <c r="AE56" s="56"/>
      <c r="AF56" s="56"/>
      <c r="AH56" s="56"/>
      <c r="AI56" s="72"/>
      <c r="AJ56" s="72"/>
      <c r="AK56" s="72"/>
      <c r="AL56" s="56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56"/>
      <c r="BD56" s="101"/>
      <c r="BE56" s="101"/>
      <c r="BF56" s="101"/>
      <c r="BG56" s="101"/>
    </row>
    <row r="57" spans="1:59" s="85" customFormat="1" ht="15" customHeight="1" x14ac:dyDescent="0.45">
      <c r="A57" s="93"/>
      <c r="B57" s="56" t="s">
        <v>239</v>
      </c>
      <c r="C57" s="72">
        <v>1.39</v>
      </c>
      <c r="D57" s="72">
        <v>1.39</v>
      </c>
      <c r="E57" s="56">
        <v>4</v>
      </c>
      <c r="F57" s="71"/>
      <c r="G57" s="69"/>
      <c r="H57" s="72"/>
      <c r="I57" s="72"/>
      <c r="J57" s="72"/>
      <c r="K57" s="72">
        <f>(C57+2*D57)*E57*$C$6</f>
        <v>2.1684000000000001</v>
      </c>
      <c r="L57" s="72"/>
      <c r="M57" s="72"/>
      <c r="N57" s="72"/>
      <c r="O57" s="72"/>
      <c r="P57" s="72"/>
      <c r="Q57" s="72"/>
      <c r="R57" s="56"/>
      <c r="S57" s="72"/>
      <c r="T57" s="72"/>
      <c r="U57" s="72"/>
      <c r="V57" s="56"/>
      <c r="W57" s="72"/>
      <c r="X57" s="72"/>
      <c r="Y57" s="72"/>
      <c r="Z57" s="72"/>
      <c r="AA57" s="56"/>
      <c r="AB57" s="56"/>
      <c r="AC57" s="56"/>
      <c r="AD57" s="72"/>
      <c r="AE57" s="56"/>
      <c r="AF57" s="56"/>
      <c r="AH57" s="56"/>
      <c r="AI57" s="72"/>
      <c r="AJ57" s="72"/>
      <c r="AK57" s="72"/>
      <c r="AL57" s="56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56"/>
      <c r="BD57" s="101"/>
      <c r="BE57" s="101"/>
      <c r="BF57" s="101"/>
      <c r="BG57" s="101"/>
    </row>
    <row r="58" spans="1:59" s="85" customFormat="1" ht="15" customHeight="1" x14ac:dyDescent="0.35">
      <c r="A58" s="93"/>
      <c r="B58" s="56" t="s">
        <v>149</v>
      </c>
      <c r="C58" s="72">
        <v>2.02</v>
      </c>
      <c r="D58" s="72">
        <v>0.95</v>
      </c>
      <c r="E58" s="56">
        <v>1</v>
      </c>
      <c r="F58" s="71"/>
      <c r="G58" s="69"/>
      <c r="H58" s="72"/>
      <c r="I58" s="72"/>
      <c r="J58" s="72"/>
      <c r="K58" s="72">
        <f>(C58+2*D58)*E58*$C$6</f>
        <v>0.50960000000000005</v>
      </c>
      <c r="L58" s="72"/>
      <c r="M58" s="72"/>
      <c r="N58" s="72"/>
      <c r="O58" s="72"/>
      <c r="P58" s="72"/>
      <c r="Q58" s="72"/>
      <c r="R58" s="56"/>
      <c r="S58" s="72"/>
      <c r="T58" s="72"/>
      <c r="U58" s="72"/>
      <c r="V58" s="56"/>
      <c r="W58" s="72"/>
      <c r="X58" s="72"/>
      <c r="Y58" s="72"/>
      <c r="Z58" s="72"/>
      <c r="AA58" s="56"/>
      <c r="AB58" s="56"/>
      <c r="AC58" s="56"/>
      <c r="AD58" s="72"/>
      <c r="AE58" s="56"/>
      <c r="AF58" s="56"/>
      <c r="AH58" s="56"/>
      <c r="AI58" s="72"/>
      <c r="AJ58" s="72"/>
      <c r="AK58" s="72"/>
      <c r="AL58" s="56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56"/>
      <c r="BD58" s="101"/>
      <c r="BE58" s="101"/>
      <c r="BF58" s="101"/>
      <c r="BG58" s="101"/>
    </row>
    <row r="59" spans="1:59" s="85" customFormat="1" ht="15" customHeight="1" x14ac:dyDescent="0.35">
      <c r="A59" s="93" t="str">
        <f>'Popis del_fasada'!A38</f>
        <v>4</v>
      </c>
      <c r="B59" s="69" t="s">
        <v>133</v>
      </c>
      <c r="C59" s="56"/>
      <c r="D59" s="56"/>
      <c r="E59" s="56"/>
      <c r="F59" s="56"/>
      <c r="G59" s="56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56"/>
      <c r="S59" s="72"/>
      <c r="T59" s="72"/>
      <c r="U59" s="72"/>
      <c r="V59" s="56"/>
      <c r="W59" s="72"/>
      <c r="X59" s="72"/>
      <c r="Y59" s="72"/>
      <c r="Z59" s="72"/>
      <c r="AA59" s="56"/>
      <c r="AB59" s="56"/>
      <c r="AC59" s="56"/>
      <c r="AD59" s="72"/>
      <c r="AE59" s="56"/>
      <c r="AF59" s="56"/>
      <c r="AH59" s="56"/>
      <c r="AI59" s="72"/>
      <c r="AJ59" s="72"/>
      <c r="AK59" s="72"/>
      <c r="AL59" s="56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56"/>
      <c r="BD59" s="101"/>
      <c r="BE59" s="101"/>
      <c r="BF59" s="101"/>
      <c r="BG59" s="101"/>
    </row>
    <row r="60" spans="1:59" s="85" customFormat="1" ht="15" customHeight="1" x14ac:dyDescent="0.45">
      <c r="A60" s="93"/>
      <c r="B60" s="56" t="s">
        <v>239</v>
      </c>
      <c r="C60" s="56">
        <v>1.4</v>
      </c>
      <c r="D60" s="56">
        <v>1.4</v>
      </c>
      <c r="E60" s="56">
        <v>4</v>
      </c>
      <c r="F60" s="56"/>
      <c r="G60" s="56"/>
      <c r="H60" s="72"/>
      <c r="I60" s="72"/>
      <c r="J60" s="72"/>
      <c r="K60" s="72"/>
      <c r="L60" s="72">
        <f>E60</f>
        <v>4</v>
      </c>
      <c r="M60" s="72"/>
      <c r="N60" s="72"/>
      <c r="O60" s="72"/>
      <c r="P60" s="72"/>
      <c r="Q60" s="72"/>
      <c r="R60" s="56"/>
      <c r="S60" s="72"/>
      <c r="T60" s="72"/>
      <c r="U60" s="72"/>
      <c r="V60" s="56"/>
      <c r="W60" s="72"/>
      <c r="X60" s="72"/>
      <c r="Y60" s="72"/>
      <c r="Z60" s="72"/>
      <c r="AA60" s="56"/>
      <c r="AB60" s="56"/>
      <c r="AC60" s="56"/>
      <c r="AD60" s="72"/>
      <c r="AE60" s="56"/>
      <c r="AF60" s="56"/>
      <c r="AH60" s="56"/>
      <c r="AI60" s="72"/>
      <c r="AJ60" s="72"/>
      <c r="AK60" s="72"/>
      <c r="AL60" s="56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56"/>
      <c r="BD60" s="101"/>
      <c r="BE60" s="101"/>
      <c r="BF60" s="101"/>
      <c r="BG60" s="101"/>
    </row>
    <row r="61" spans="1:59" s="85" customFormat="1" ht="15" customHeight="1" x14ac:dyDescent="0.35">
      <c r="A61" s="93" t="str">
        <f>'Popis del_fasada'!A44</f>
        <v>6</v>
      </c>
      <c r="B61" s="69" t="s">
        <v>134</v>
      </c>
      <c r="C61" s="56"/>
      <c r="D61" s="56"/>
      <c r="E61" s="56"/>
      <c r="F61" s="56"/>
      <c r="G61" s="56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56"/>
      <c r="S61" s="72"/>
      <c r="T61" s="72"/>
      <c r="U61" s="72"/>
      <c r="V61" s="56"/>
      <c r="W61" s="72"/>
      <c r="X61" s="72"/>
      <c r="Y61" s="72"/>
      <c r="Z61" s="72"/>
      <c r="AA61" s="56"/>
      <c r="AB61" s="56"/>
      <c r="AC61" s="56"/>
      <c r="AD61" s="72"/>
      <c r="AE61" s="56"/>
      <c r="AF61" s="56"/>
      <c r="AH61" s="56"/>
      <c r="AI61" s="72"/>
      <c r="AJ61" s="72"/>
      <c r="AK61" s="72"/>
      <c r="AL61" s="56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56"/>
      <c r="BD61" s="101"/>
      <c r="BE61" s="101"/>
      <c r="BF61" s="101"/>
      <c r="BG61" s="101"/>
    </row>
    <row r="62" spans="1:59" s="85" customFormat="1" ht="15" customHeight="1" x14ac:dyDescent="0.45">
      <c r="A62" s="93"/>
      <c r="B62" s="56" t="s">
        <v>239</v>
      </c>
      <c r="C62" s="56">
        <v>1.4</v>
      </c>
      <c r="D62" s="56">
        <v>1.4</v>
      </c>
      <c r="E62" s="56">
        <v>4</v>
      </c>
      <c r="F62" s="56"/>
      <c r="G62" s="56"/>
      <c r="H62" s="72"/>
      <c r="I62" s="72"/>
      <c r="J62" s="72"/>
      <c r="K62" s="72"/>
      <c r="L62" s="72"/>
      <c r="M62" s="72">
        <f>(0.06+C62+0.06)*E62</f>
        <v>6.08</v>
      </c>
      <c r="N62" s="72"/>
      <c r="O62" s="72"/>
      <c r="P62" s="72"/>
      <c r="Q62" s="72"/>
      <c r="R62" s="56"/>
      <c r="S62" s="72"/>
      <c r="T62" s="72"/>
      <c r="U62" s="72"/>
      <c r="V62" s="56"/>
      <c r="W62" s="72"/>
      <c r="X62" s="72"/>
      <c r="Y62" s="72"/>
      <c r="Z62" s="72"/>
      <c r="AA62" s="56"/>
      <c r="AB62" s="56"/>
      <c r="AC62" s="56"/>
      <c r="AD62" s="72"/>
      <c r="AE62" s="56"/>
      <c r="AF62" s="56"/>
      <c r="AH62" s="56"/>
      <c r="AI62" s="72"/>
      <c r="AJ62" s="72"/>
      <c r="AK62" s="72"/>
      <c r="AL62" s="56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56"/>
      <c r="BD62" s="101"/>
      <c r="BE62" s="101"/>
      <c r="BF62" s="101"/>
      <c r="BG62" s="101"/>
    </row>
    <row r="63" spans="1:59" s="85" customFormat="1" ht="15" customHeight="1" x14ac:dyDescent="0.35">
      <c r="A63" s="93">
        <f>'Popis del_fasada'!A54</f>
        <v>11</v>
      </c>
      <c r="B63" s="69" t="s">
        <v>142</v>
      </c>
      <c r="C63" s="101">
        <f>0.89+7.06+0.2</f>
        <v>8.1499999999999986</v>
      </c>
      <c r="G63" s="56"/>
      <c r="H63" s="72"/>
      <c r="I63" s="72"/>
      <c r="J63" s="72"/>
      <c r="K63" s="72"/>
      <c r="L63" s="72"/>
      <c r="M63" s="72"/>
      <c r="N63" s="72"/>
      <c r="O63" s="72">
        <f>C63</f>
        <v>8.1499999999999986</v>
      </c>
      <c r="P63" s="72"/>
      <c r="Q63" s="72"/>
      <c r="R63" s="56"/>
      <c r="S63" s="72"/>
      <c r="T63" s="72"/>
      <c r="U63" s="72"/>
      <c r="V63" s="56"/>
      <c r="W63" s="72"/>
      <c r="X63" s="72"/>
      <c r="Y63" s="72"/>
      <c r="Z63" s="72"/>
      <c r="AA63" s="56"/>
      <c r="AB63" s="56"/>
      <c r="AC63" s="56"/>
      <c r="AD63" s="72"/>
      <c r="AE63" s="56"/>
      <c r="AF63" s="56"/>
      <c r="AH63" s="56"/>
      <c r="AI63" s="72"/>
      <c r="AJ63" s="72"/>
      <c r="AK63" s="72"/>
      <c r="AL63" s="56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56"/>
      <c r="BD63" s="101"/>
      <c r="BE63" s="101"/>
      <c r="BF63" s="101"/>
      <c r="BG63" s="101"/>
    </row>
    <row r="64" spans="1:59" s="85" customFormat="1" ht="15" customHeight="1" x14ac:dyDescent="0.35">
      <c r="A64" s="93"/>
      <c r="B64" s="69"/>
      <c r="C64" s="101"/>
      <c r="G64" s="56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56"/>
      <c r="S64" s="72"/>
      <c r="T64" s="72"/>
      <c r="U64" s="72"/>
      <c r="V64" s="56"/>
      <c r="W64" s="72"/>
      <c r="X64" s="72"/>
      <c r="Y64" s="72"/>
      <c r="Z64" s="72"/>
      <c r="AA64" s="56"/>
      <c r="AB64" s="56"/>
      <c r="AC64" s="56"/>
      <c r="AD64" s="72"/>
      <c r="AE64" s="56"/>
      <c r="AF64" s="56"/>
      <c r="AH64" s="56"/>
      <c r="AI64" s="72"/>
      <c r="AJ64" s="72"/>
      <c r="AK64" s="72"/>
      <c r="AL64" s="56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56"/>
      <c r="BD64" s="101"/>
      <c r="BE64" s="101"/>
      <c r="BF64" s="101"/>
      <c r="BG64" s="101"/>
    </row>
    <row r="65" spans="1:63" s="85" customFormat="1" ht="15" customHeight="1" x14ac:dyDescent="0.35">
      <c r="A65" s="93"/>
      <c r="B65" s="69" t="str">
        <f>'Popis del_fasada'!B70</f>
        <v>ZEMELJSKA DELA</v>
      </c>
      <c r="C65" s="101"/>
      <c r="G65" s="56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56"/>
      <c r="S65" s="72"/>
      <c r="T65" s="72"/>
      <c r="U65" s="72"/>
      <c r="V65" s="56"/>
      <c r="W65" s="72"/>
      <c r="X65" s="72"/>
      <c r="Y65" s="72"/>
      <c r="Z65" s="72"/>
      <c r="AA65" s="56"/>
      <c r="AB65" s="56"/>
      <c r="AC65" s="56"/>
      <c r="AD65" s="72"/>
      <c r="AE65" s="56"/>
      <c r="AF65" s="56"/>
      <c r="AH65" s="56"/>
      <c r="AI65" s="72"/>
      <c r="AJ65" s="72"/>
      <c r="AK65" s="72"/>
      <c r="AL65" s="56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56"/>
      <c r="BD65" s="101"/>
      <c r="BE65" s="101"/>
      <c r="BF65" s="101"/>
      <c r="BG65" s="101"/>
    </row>
    <row r="66" spans="1:63" s="85" customFormat="1" ht="15" customHeight="1" x14ac:dyDescent="0.35">
      <c r="A66" s="93" t="str">
        <f>'Popis del_fasada'!A76</f>
        <v>3</v>
      </c>
      <c r="B66" s="69" t="s">
        <v>76</v>
      </c>
      <c r="C66" s="56">
        <f>11.03</f>
        <v>11.03</v>
      </c>
      <c r="D66" s="90">
        <v>0.5</v>
      </c>
      <c r="E66" s="56">
        <v>0.5</v>
      </c>
      <c r="G66" s="56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56"/>
      <c r="S66" s="72">
        <f>C66*D66*E66</f>
        <v>2.7574999999999998</v>
      </c>
      <c r="T66" s="72"/>
      <c r="U66" s="72"/>
      <c r="V66" s="56"/>
      <c r="W66" s="72"/>
      <c r="X66" s="72"/>
      <c r="Y66" s="72"/>
      <c r="Z66" s="72"/>
      <c r="AA66" s="56"/>
      <c r="AB66" s="56"/>
      <c r="AC66" s="56"/>
      <c r="AD66" s="72"/>
      <c r="AE66" s="56"/>
      <c r="AF66" s="56"/>
      <c r="AH66" s="56"/>
      <c r="AI66" s="72"/>
      <c r="AJ66" s="72"/>
      <c r="AK66" s="72"/>
      <c r="AL66" s="56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56"/>
      <c r="BD66" s="101"/>
      <c r="BE66" s="101"/>
      <c r="BF66" s="101"/>
      <c r="BG66" s="101"/>
    </row>
    <row r="67" spans="1:63" s="85" customFormat="1" ht="15" customHeight="1" x14ac:dyDescent="0.35">
      <c r="A67" s="93" t="str">
        <f>'Popis del_fasada'!A80</f>
        <v>5</v>
      </c>
      <c r="B67" s="69" t="s">
        <v>151</v>
      </c>
      <c r="C67" s="56">
        <f>11.03</f>
        <v>11.03</v>
      </c>
      <c r="D67" s="90">
        <v>0.4</v>
      </c>
      <c r="E67" s="56">
        <v>0.5</v>
      </c>
      <c r="G67" s="56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56"/>
      <c r="S67" s="72"/>
      <c r="T67" s="72"/>
      <c r="U67" s="72">
        <f>C67*D67*E67</f>
        <v>2.206</v>
      </c>
      <c r="V67" s="56"/>
      <c r="W67" s="72"/>
      <c r="X67" s="72"/>
      <c r="Y67" s="72"/>
      <c r="Z67" s="72"/>
      <c r="AA67" s="56"/>
      <c r="AB67" s="56"/>
      <c r="AC67" s="56"/>
      <c r="AD67" s="72"/>
      <c r="AE67" s="56"/>
      <c r="AF67" s="56"/>
      <c r="AH67" s="56"/>
      <c r="AI67" s="72"/>
      <c r="AJ67" s="72"/>
      <c r="AK67" s="72"/>
      <c r="AL67" s="56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56"/>
      <c r="BD67" s="101"/>
      <c r="BE67" s="101"/>
      <c r="BF67" s="101"/>
      <c r="BG67" s="101"/>
    </row>
    <row r="68" spans="1:63" s="85" customFormat="1" ht="15" customHeight="1" x14ac:dyDescent="0.35">
      <c r="A68" s="93"/>
      <c r="B68" s="99"/>
      <c r="C68" s="72"/>
      <c r="D68" s="56"/>
      <c r="E68" s="56"/>
      <c r="F68" s="56"/>
      <c r="G68" s="56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56"/>
      <c r="S68" s="72"/>
      <c r="T68" s="72"/>
      <c r="U68" s="72"/>
      <c r="V68" s="56"/>
      <c r="W68" s="72"/>
      <c r="X68" s="72"/>
      <c r="Y68" s="72"/>
      <c r="Z68" s="72"/>
      <c r="AA68" s="56"/>
      <c r="AB68" s="56"/>
      <c r="AC68" s="56"/>
      <c r="AD68" s="72"/>
      <c r="AE68" s="56"/>
      <c r="AF68" s="56"/>
      <c r="AH68" s="56"/>
      <c r="AI68" s="72"/>
      <c r="AJ68" s="72"/>
      <c r="AK68" s="72"/>
      <c r="AL68" s="56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56"/>
      <c r="BD68" s="101"/>
      <c r="BE68" s="101"/>
      <c r="BF68" s="101"/>
      <c r="BG68" s="101"/>
    </row>
    <row r="69" spans="1:63" s="85" customFormat="1" ht="15" customHeight="1" x14ac:dyDescent="0.35">
      <c r="A69" s="93"/>
      <c r="B69" s="69" t="str">
        <f>'Popis del_fasada'!B84</f>
        <v>ZIDARSKA DELA</v>
      </c>
      <c r="C69" s="72"/>
      <c r="D69" s="56"/>
      <c r="E69" s="56"/>
      <c r="F69" s="56"/>
      <c r="G69" s="56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56"/>
      <c r="S69" s="72"/>
      <c r="T69" s="72"/>
      <c r="U69" s="72"/>
      <c r="V69" s="56"/>
      <c r="W69" s="72"/>
      <c r="X69" s="72"/>
      <c r="Y69" s="72"/>
      <c r="Z69" s="72"/>
      <c r="AA69" s="56"/>
      <c r="AB69" s="56"/>
      <c r="AC69" s="56"/>
      <c r="AD69" s="72"/>
      <c r="AE69" s="56"/>
      <c r="AF69" s="56"/>
      <c r="AH69" s="56"/>
      <c r="AI69" s="72"/>
      <c r="AJ69" s="72"/>
      <c r="AK69" s="72"/>
      <c r="AL69" s="56"/>
      <c r="AM69" s="72"/>
      <c r="AN69" s="72"/>
      <c r="AO69" s="72"/>
      <c r="AP69" s="72"/>
      <c r="AQ69" s="72"/>
      <c r="AR69" s="72"/>
      <c r="AS69" s="56"/>
      <c r="AT69" s="72"/>
      <c r="AU69" s="72"/>
      <c r="AV69" s="72"/>
      <c r="AW69" s="72"/>
      <c r="AX69" s="72"/>
      <c r="AY69" s="72"/>
      <c r="AZ69" s="72"/>
      <c r="BA69" s="72"/>
      <c r="BB69" s="72"/>
      <c r="BC69" s="56"/>
      <c r="BD69" s="101"/>
      <c r="BE69" s="101"/>
      <c r="BF69" s="101"/>
      <c r="BG69" s="101"/>
    </row>
    <row r="70" spans="1:63" s="85" customFormat="1" ht="15" customHeight="1" x14ac:dyDescent="0.35">
      <c r="A70" s="93" t="str">
        <f>'Popis del_fasada'!A86</f>
        <v>1</v>
      </c>
      <c r="B70" s="70" t="s">
        <v>109</v>
      </c>
      <c r="C70" s="56">
        <v>11.03</v>
      </c>
      <c r="D70" s="56">
        <f>0.87+0.3</f>
        <v>1.17</v>
      </c>
      <c r="E70" s="56"/>
      <c r="F70" s="56"/>
      <c r="G70" s="56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56"/>
      <c r="S70" s="72"/>
      <c r="T70" s="72"/>
      <c r="U70" s="72"/>
      <c r="V70" s="56"/>
      <c r="W70" s="72">
        <f>C70*D70</f>
        <v>12.905099999999999</v>
      </c>
      <c r="X70" s="72"/>
      <c r="Y70" s="72"/>
      <c r="Z70" s="72"/>
      <c r="AA70" s="56"/>
      <c r="AB70" s="56"/>
      <c r="AC70" s="56"/>
      <c r="AD70" s="72"/>
      <c r="AE70" s="56"/>
      <c r="AF70" s="56"/>
      <c r="AH70" s="56"/>
      <c r="AI70" s="72"/>
      <c r="AJ70" s="72"/>
      <c r="AK70" s="72"/>
      <c r="AL70" s="56"/>
      <c r="AM70" s="72"/>
      <c r="AN70" s="72"/>
      <c r="AO70" s="72"/>
      <c r="AP70" s="72"/>
      <c r="AQ70" s="72"/>
      <c r="AR70" s="72"/>
      <c r="AS70" s="56"/>
      <c r="AT70" s="72"/>
      <c r="AU70" s="72"/>
      <c r="AV70" s="72"/>
      <c r="AW70" s="72"/>
      <c r="AX70" s="72"/>
      <c r="AY70" s="72"/>
      <c r="AZ70" s="72"/>
      <c r="BA70" s="72"/>
      <c r="BB70" s="72"/>
      <c r="BC70" s="56"/>
      <c r="BD70" s="101"/>
      <c r="BE70" s="101"/>
      <c r="BF70" s="101"/>
      <c r="BG70" s="101"/>
    </row>
    <row r="71" spans="1:63" s="85" customFormat="1" ht="15" customHeight="1" x14ac:dyDescent="0.35">
      <c r="A71" s="93">
        <f>'Popis del_fasada'!A90</f>
        <v>3</v>
      </c>
      <c r="B71" s="70" t="s">
        <v>57</v>
      </c>
      <c r="C71" s="56"/>
      <c r="E71" s="56"/>
      <c r="F71" s="56"/>
      <c r="G71" s="56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56"/>
      <c r="S71" s="72"/>
      <c r="T71" s="72"/>
      <c r="U71" s="72"/>
      <c r="V71" s="56"/>
      <c r="W71" s="72"/>
      <c r="X71" s="72"/>
      <c r="Y71" s="72"/>
      <c r="Z71" s="72"/>
      <c r="AA71" s="56"/>
      <c r="AB71" s="56"/>
      <c r="AC71" s="56"/>
      <c r="AD71" s="72"/>
      <c r="AE71" s="56"/>
      <c r="AF71" s="56"/>
      <c r="AH71" s="56"/>
      <c r="AI71" s="72"/>
      <c r="AJ71" s="72"/>
      <c r="AK71" s="72"/>
      <c r="AL71" s="56"/>
      <c r="AM71" s="72"/>
      <c r="AN71" s="72"/>
      <c r="AO71" s="72"/>
      <c r="AP71" s="72"/>
      <c r="AQ71" s="72"/>
      <c r="AR71" s="72"/>
      <c r="AS71" s="56"/>
      <c r="AT71" s="72"/>
      <c r="AU71" s="72"/>
      <c r="AV71" s="72"/>
      <c r="AW71" s="72"/>
      <c r="AX71" s="72"/>
      <c r="AY71" s="72"/>
      <c r="AZ71" s="72"/>
      <c r="BA71" s="72"/>
      <c r="BB71" s="72"/>
      <c r="BC71" s="56"/>
      <c r="BE71" s="101"/>
      <c r="BF71" s="101"/>
      <c r="BG71" s="101"/>
    </row>
    <row r="72" spans="1:63" s="85" customFormat="1" ht="15" customHeight="1" x14ac:dyDescent="0.35">
      <c r="A72" s="93"/>
      <c r="B72" s="69" t="s">
        <v>147</v>
      </c>
      <c r="C72" s="56">
        <v>11.03</v>
      </c>
      <c r="D72" s="56">
        <v>6.88</v>
      </c>
      <c r="E72" s="56"/>
      <c r="F72" s="56"/>
      <c r="G72" s="56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56"/>
      <c r="S72" s="72"/>
      <c r="T72" s="72"/>
      <c r="U72" s="72"/>
      <c r="V72" s="56"/>
      <c r="W72" s="72"/>
      <c r="X72" s="72">
        <f>C72*D72</f>
        <v>75.886399999999995</v>
      </c>
      <c r="Y72" s="72"/>
      <c r="Z72" s="72"/>
      <c r="AA72" s="56"/>
      <c r="AB72" s="56"/>
      <c r="AC72" s="56"/>
      <c r="AD72" s="72"/>
      <c r="AE72" s="56"/>
      <c r="AF72" s="56"/>
      <c r="AH72" s="56"/>
      <c r="AI72" s="72"/>
      <c r="AJ72" s="72"/>
      <c r="AK72" s="72"/>
      <c r="AL72" s="56"/>
      <c r="AM72" s="72"/>
      <c r="AN72" s="72"/>
      <c r="AO72" s="72"/>
      <c r="AP72" s="72"/>
      <c r="AQ72" s="72"/>
      <c r="AR72" s="72"/>
      <c r="AS72" s="56"/>
      <c r="AT72" s="72"/>
      <c r="AU72" s="72"/>
      <c r="AV72" s="72"/>
      <c r="AW72" s="72"/>
      <c r="AX72" s="72"/>
      <c r="AY72" s="72"/>
      <c r="AZ72" s="72"/>
      <c r="BA72" s="72"/>
      <c r="BB72" s="72"/>
      <c r="BC72" s="56"/>
      <c r="BD72" s="90"/>
      <c r="BE72" s="101"/>
      <c r="BF72" s="101"/>
      <c r="BG72" s="101"/>
      <c r="BI72" s="101"/>
      <c r="BJ72" s="101"/>
      <c r="BK72" s="101"/>
    </row>
    <row r="73" spans="1:63" s="85" customFormat="1" ht="15" customHeight="1" x14ac:dyDescent="0.35">
      <c r="A73" s="93"/>
      <c r="B73" s="69" t="s">
        <v>148</v>
      </c>
      <c r="C73" s="56">
        <v>1.53</v>
      </c>
      <c r="D73" s="56">
        <v>2.97</v>
      </c>
      <c r="E73" s="56"/>
      <c r="F73" s="56"/>
      <c r="G73" s="56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56"/>
      <c r="S73" s="72"/>
      <c r="T73" s="72"/>
      <c r="U73" s="72"/>
      <c r="V73" s="56"/>
      <c r="W73" s="72"/>
      <c r="X73" s="72">
        <f>C73*D73</f>
        <v>4.5441000000000003</v>
      </c>
      <c r="Y73" s="72"/>
      <c r="Z73" s="72"/>
      <c r="AA73" s="56"/>
      <c r="AB73" s="56"/>
      <c r="AC73" s="56"/>
      <c r="AD73" s="72"/>
      <c r="AE73" s="56"/>
      <c r="AF73" s="56"/>
      <c r="AH73" s="56"/>
      <c r="AI73" s="72"/>
      <c r="AJ73" s="72"/>
      <c r="AK73" s="72"/>
      <c r="AL73" s="56"/>
      <c r="AM73" s="72"/>
      <c r="AN73" s="72"/>
      <c r="AO73" s="72"/>
      <c r="AP73" s="72"/>
      <c r="AQ73" s="72"/>
      <c r="AR73" s="72"/>
      <c r="AS73" s="56"/>
      <c r="AT73" s="72"/>
      <c r="AU73" s="72"/>
      <c r="AV73" s="72"/>
      <c r="AW73" s="72"/>
      <c r="AX73" s="72"/>
      <c r="AY73" s="72"/>
      <c r="AZ73" s="72"/>
      <c r="BA73" s="72"/>
      <c r="BB73" s="72"/>
      <c r="BC73" s="56"/>
      <c r="BD73" s="101"/>
      <c r="BE73" s="101"/>
      <c r="BF73" s="101"/>
      <c r="BG73" s="101"/>
      <c r="BI73" s="101"/>
      <c r="BJ73" s="101"/>
      <c r="BK73" s="101"/>
    </row>
    <row r="74" spans="1:63" s="85" customFormat="1" ht="15" customHeight="1" x14ac:dyDescent="0.35">
      <c r="A74" s="93">
        <f>'Popis del_fasada'!A92</f>
        <v>4</v>
      </c>
      <c r="B74" s="69" t="s">
        <v>126</v>
      </c>
      <c r="C74" s="56">
        <v>11.03</v>
      </c>
      <c r="D74" s="56">
        <v>0.6</v>
      </c>
      <c r="E74" s="56"/>
      <c r="F74" s="56"/>
      <c r="G74" s="56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56"/>
      <c r="S74" s="72"/>
      <c r="T74" s="72"/>
      <c r="U74" s="72"/>
      <c r="V74" s="56"/>
      <c r="W74" s="72"/>
      <c r="X74" s="72"/>
      <c r="Y74" s="72">
        <f>C74*D74</f>
        <v>6.6179999999999994</v>
      </c>
      <c r="Z74" s="72"/>
      <c r="AA74" s="56"/>
      <c r="AB74" s="56"/>
      <c r="AC74" s="56"/>
      <c r="AD74" s="72"/>
      <c r="AE74" s="56"/>
      <c r="AF74" s="56"/>
      <c r="AH74" s="56"/>
      <c r="AI74" s="72"/>
      <c r="AJ74" s="72"/>
      <c r="AK74" s="72"/>
      <c r="AL74" s="56"/>
      <c r="AM74" s="72"/>
      <c r="AN74" s="72"/>
      <c r="AO74" s="72"/>
      <c r="AP74" s="72"/>
      <c r="AQ74" s="72"/>
      <c r="AR74" s="72"/>
      <c r="AS74" s="56"/>
      <c r="AT74" s="72"/>
      <c r="AU74" s="72"/>
      <c r="AV74" s="72"/>
      <c r="AW74" s="72"/>
      <c r="AX74" s="72"/>
      <c r="AY74" s="72"/>
      <c r="AZ74" s="72"/>
      <c r="BA74" s="72"/>
      <c r="BB74" s="72"/>
      <c r="BC74" s="56"/>
      <c r="BD74" s="101"/>
      <c r="BE74" s="101"/>
      <c r="BF74" s="101"/>
      <c r="BG74" s="101"/>
      <c r="BI74" s="101"/>
      <c r="BJ74" s="101"/>
      <c r="BK74" s="101"/>
    </row>
    <row r="75" spans="1:63" s="85" customFormat="1" ht="15" customHeight="1" x14ac:dyDescent="0.35">
      <c r="A75" s="93">
        <f>'Popis del_fasada'!A96</f>
        <v>6</v>
      </c>
      <c r="B75" s="69" t="s">
        <v>131</v>
      </c>
      <c r="C75" s="56"/>
      <c r="D75" s="56"/>
      <c r="E75" s="56"/>
      <c r="F75" s="56"/>
      <c r="G75" s="56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56"/>
      <c r="S75" s="72"/>
      <c r="T75" s="72"/>
      <c r="U75" s="72"/>
      <c r="V75" s="56"/>
      <c r="W75" s="72"/>
      <c r="X75" s="72"/>
      <c r="Y75" s="72"/>
      <c r="Z75" s="72"/>
      <c r="AA75" s="56"/>
      <c r="AB75" s="56"/>
      <c r="AC75" s="56"/>
      <c r="AD75" s="72"/>
      <c r="AE75" s="56"/>
      <c r="AF75" s="56"/>
      <c r="AH75" s="56"/>
      <c r="AI75" s="72"/>
      <c r="AJ75" s="72"/>
      <c r="AK75" s="72"/>
      <c r="AL75" s="56"/>
      <c r="AM75" s="72"/>
      <c r="AN75" s="72"/>
      <c r="AO75" s="72"/>
      <c r="AP75" s="72"/>
      <c r="AQ75" s="72"/>
      <c r="AR75" s="72"/>
      <c r="AS75" s="56"/>
      <c r="AT75" s="72"/>
      <c r="AU75" s="72"/>
      <c r="AV75" s="72"/>
      <c r="AW75" s="72"/>
      <c r="AX75" s="72"/>
      <c r="AY75" s="72"/>
      <c r="AZ75" s="72"/>
      <c r="BA75" s="72"/>
      <c r="BB75" s="72"/>
      <c r="BC75" s="56"/>
      <c r="BD75" s="101"/>
      <c r="BE75" s="101"/>
      <c r="BF75" s="101"/>
      <c r="BG75" s="101"/>
      <c r="BI75" s="101"/>
      <c r="BJ75" s="101"/>
      <c r="BK75" s="101"/>
    </row>
    <row r="76" spans="1:63" s="85" customFormat="1" ht="15" customHeight="1" x14ac:dyDescent="0.45">
      <c r="A76" s="93"/>
      <c r="B76" s="56" t="s">
        <v>239</v>
      </c>
      <c r="C76" s="56">
        <v>1.39</v>
      </c>
      <c r="D76" s="56">
        <v>1.4</v>
      </c>
      <c r="E76" s="56">
        <v>4</v>
      </c>
      <c r="F76" s="56"/>
      <c r="G76" s="56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56"/>
      <c r="S76" s="72"/>
      <c r="T76" s="72"/>
      <c r="U76" s="72"/>
      <c r="V76" s="56"/>
      <c r="W76" s="72"/>
      <c r="X76" s="72"/>
      <c r="Y76" s="72"/>
      <c r="Z76" s="72"/>
      <c r="AA76" s="56"/>
      <c r="AB76" s="56">
        <f>(0.05+C76+0.05)*E76</f>
        <v>5.96</v>
      </c>
      <c r="AC76" s="56"/>
      <c r="AD76" s="72"/>
      <c r="AE76" s="56"/>
      <c r="AF76" s="56"/>
      <c r="AH76" s="56"/>
      <c r="AI76" s="72"/>
      <c r="AJ76" s="72"/>
      <c r="AK76" s="72"/>
      <c r="AL76" s="56"/>
      <c r="AM76" s="72"/>
      <c r="AN76" s="72"/>
      <c r="AO76" s="72"/>
      <c r="AP76" s="72"/>
      <c r="AQ76" s="72"/>
      <c r="AR76" s="72"/>
      <c r="AS76" s="56"/>
      <c r="AT76" s="72"/>
      <c r="AU76" s="72"/>
      <c r="AV76" s="72"/>
      <c r="AW76" s="72"/>
      <c r="AX76" s="72"/>
      <c r="AY76" s="72"/>
      <c r="AZ76" s="72"/>
      <c r="BA76" s="72"/>
      <c r="BB76" s="72"/>
      <c r="BC76" s="56"/>
      <c r="BD76" s="101"/>
      <c r="BE76" s="101"/>
      <c r="BF76" s="101"/>
      <c r="BG76" s="101"/>
      <c r="BI76" s="101"/>
      <c r="BJ76" s="101"/>
      <c r="BK76" s="101"/>
    </row>
    <row r="77" spans="1:63" s="85" customFormat="1" ht="15" customHeight="1" x14ac:dyDescent="0.35">
      <c r="A77" s="93">
        <f>'Popis del_fasada'!A105</f>
        <v>10</v>
      </c>
      <c r="B77" s="69" t="s">
        <v>153</v>
      </c>
      <c r="C77" s="90">
        <v>11.03</v>
      </c>
      <c r="D77" s="90">
        <v>0.65</v>
      </c>
      <c r="E77" s="72"/>
      <c r="F77" s="72"/>
      <c r="G77" s="56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56"/>
      <c r="S77" s="72"/>
      <c r="T77" s="72"/>
      <c r="U77" s="72"/>
      <c r="V77" s="56"/>
      <c r="W77" s="72"/>
      <c r="X77" s="72"/>
      <c r="Y77" s="72"/>
      <c r="Z77" s="72"/>
      <c r="AA77" s="56"/>
      <c r="AB77" s="56"/>
      <c r="AC77" s="56">
        <f>C77*D77</f>
        <v>7.1695000000000002</v>
      </c>
      <c r="AD77" s="72"/>
      <c r="AE77" s="56"/>
      <c r="AF77" s="56"/>
      <c r="AH77" s="56"/>
      <c r="AI77" s="72"/>
      <c r="AJ77" s="72"/>
      <c r="AK77" s="72"/>
      <c r="AL77" s="56"/>
      <c r="AM77" s="72"/>
      <c r="AN77" s="72"/>
      <c r="AO77" s="72"/>
      <c r="AP77" s="72"/>
      <c r="AQ77" s="72"/>
      <c r="AR77" s="72"/>
      <c r="AS77" s="56"/>
      <c r="AT77" s="72"/>
      <c r="AU77" s="72"/>
      <c r="AV77" s="72"/>
      <c r="AW77" s="72"/>
      <c r="AX77" s="72"/>
      <c r="AY77" s="72"/>
      <c r="AZ77" s="72"/>
      <c r="BA77" s="72"/>
      <c r="BB77" s="72"/>
      <c r="BC77" s="56"/>
      <c r="BD77" s="101"/>
      <c r="BE77" s="101"/>
      <c r="BF77" s="101"/>
      <c r="BG77" s="101"/>
      <c r="BI77" s="101"/>
      <c r="BJ77" s="101"/>
      <c r="BK77" s="101"/>
    </row>
    <row r="78" spans="1:63" s="85" customFormat="1" ht="15" customHeight="1" x14ac:dyDescent="0.35">
      <c r="A78" s="93"/>
      <c r="B78" s="56"/>
      <c r="C78" s="72"/>
      <c r="D78" s="72"/>
      <c r="E78" s="72"/>
      <c r="F78" s="72"/>
      <c r="G78" s="56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56"/>
      <c r="S78" s="72"/>
      <c r="T78" s="72"/>
      <c r="U78" s="72"/>
      <c r="V78" s="56"/>
      <c r="W78" s="72"/>
      <c r="X78" s="72"/>
      <c r="Y78" s="72"/>
      <c r="Z78" s="72"/>
      <c r="AA78" s="56"/>
      <c r="AB78" s="56"/>
      <c r="AC78" s="56"/>
      <c r="AD78" s="72"/>
      <c r="AE78" s="56"/>
      <c r="AF78" s="56"/>
      <c r="AH78" s="56"/>
      <c r="AI78" s="72"/>
      <c r="AJ78" s="72"/>
      <c r="AK78" s="72"/>
      <c r="AL78" s="56"/>
      <c r="AM78" s="72"/>
      <c r="AN78" s="72"/>
      <c r="AO78" s="72"/>
      <c r="AP78" s="72"/>
      <c r="AQ78" s="72"/>
      <c r="AR78" s="72"/>
      <c r="AS78" s="56"/>
      <c r="AT78" s="72"/>
      <c r="AU78" s="72"/>
      <c r="AV78" s="72"/>
      <c r="AW78" s="72"/>
      <c r="AX78" s="72"/>
      <c r="AY78" s="72"/>
      <c r="AZ78" s="72"/>
      <c r="BA78" s="72"/>
      <c r="BB78" s="72"/>
      <c r="BC78" s="56"/>
      <c r="BD78" s="101"/>
      <c r="BE78" s="101"/>
      <c r="BF78" s="101"/>
      <c r="BG78" s="101"/>
      <c r="BI78" s="101"/>
      <c r="BJ78" s="101"/>
      <c r="BK78" s="101"/>
    </row>
    <row r="79" spans="1:63" s="85" customFormat="1" ht="15" customHeight="1" x14ac:dyDescent="0.35">
      <c r="A79" s="93"/>
      <c r="B79" s="69" t="str">
        <f>'Popis del_fasada'!B128</f>
        <v>TESARSKA DELA</v>
      </c>
      <c r="F79" s="72"/>
      <c r="G79" s="56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56"/>
      <c r="S79" s="72"/>
      <c r="T79" s="72"/>
      <c r="U79" s="72"/>
      <c r="V79" s="56"/>
      <c r="W79" s="72"/>
      <c r="X79" s="72"/>
      <c r="Y79" s="72"/>
      <c r="Z79" s="72"/>
      <c r="AA79" s="56"/>
      <c r="AB79" s="56"/>
      <c r="AC79" s="56"/>
      <c r="AD79" s="72"/>
      <c r="AE79" s="56"/>
      <c r="AF79" s="56"/>
      <c r="AH79" s="56"/>
      <c r="AI79" s="72"/>
      <c r="AJ79" s="72"/>
      <c r="AK79" s="72"/>
      <c r="AL79" s="56"/>
      <c r="AM79" s="72"/>
      <c r="AN79" s="72"/>
      <c r="AO79" s="72"/>
      <c r="AP79" s="72"/>
      <c r="AQ79" s="72"/>
      <c r="AR79" s="72"/>
      <c r="AS79" s="56"/>
      <c r="AT79" s="72"/>
      <c r="AU79" s="72"/>
      <c r="AV79" s="72"/>
      <c r="AW79" s="72"/>
      <c r="AX79" s="72"/>
      <c r="AY79" s="72"/>
      <c r="AZ79" s="72"/>
      <c r="BA79" s="72"/>
      <c r="BB79" s="72"/>
      <c r="BC79" s="56"/>
      <c r="BD79" s="101"/>
      <c r="BE79" s="101"/>
      <c r="BF79" s="101"/>
      <c r="BG79" s="101"/>
      <c r="BI79" s="101"/>
      <c r="BJ79" s="101"/>
      <c r="BK79" s="101"/>
    </row>
    <row r="80" spans="1:63" s="85" customFormat="1" ht="15" customHeight="1" x14ac:dyDescent="0.35">
      <c r="A80" s="93" t="str">
        <f>'Popis del_fasada'!A130</f>
        <v>1</v>
      </c>
      <c r="B80" s="69" t="s">
        <v>21</v>
      </c>
      <c r="C80" s="56">
        <f>0.8+0.3+11.03+0.8+0.3</f>
        <v>13.23</v>
      </c>
      <c r="D80" s="56">
        <f>7.65-0.8</f>
        <v>6.8500000000000005</v>
      </c>
      <c r="E80" s="72"/>
      <c r="F80" s="72"/>
      <c r="G80" s="56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56"/>
      <c r="S80" s="72"/>
      <c r="T80" s="72"/>
      <c r="U80" s="72"/>
      <c r="V80" s="56"/>
      <c r="W80" s="72"/>
      <c r="X80" s="72"/>
      <c r="Y80" s="72"/>
      <c r="Z80" s="72"/>
      <c r="AA80" s="56"/>
      <c r="AB80" s="56"/>
      <c r="AC80" s="56"/>
      <c r="AD80" s="72"/>
      <c r="AE80" s="56"/>
      <c r="AF80" s="56"/>
      <c r="AH80" s="56"/>
      <c r="AI80" s="72">
        <f>C80*D80</f>
        <v>90.625500000000017</v>
      </c>
      <c r="AJ80" s="72"/>
      <c r="AK80" s="72"/>
      <c r="AL80" s="56"/>
      <c r="AM80" s="72"/>
      <c r="AN80" s="72"/>
      <c r="AO80" s="72"/>
      <c r="AP80" s="72"/>
      <c r="AQ80" s="72"/>
      <c r="AR80" s="72"/>
      <c r="AS80" s="56"/>
      <c r="AT80" s="72"/>
      <c r="AU80" s="72"/>
      <c r="AV80" s="72"/>
      <c r="AW80" s="72"/>
      <c r="AX80" s="72"/>
      <c r="AY80" s="72"/>
      <c r="AZ80" s="72"/>
      <c r="BA80" s="72"/>
      <c r="BB80" s="72"/>
      <c r="BC80" s="56"/>
      <c r="BD80" s="101"/>
      <c r="BE80" s="101"/>
      <c r="BF80" s="101"/>
      <c r="BG80" s="101"/>
      <c r="BI80" s="101"/>
      <c r="BJ80" s="101"/>
      <c r="BK80" s="101"/>
    </row>
    <row r="81" spans="1:63" s="85" customFormat="1" ht="15" customHeight="1" x14ac:dyDescent="0.35">
      <c r="A81" s="93"/>
      <c r="B81" s="69"/>
      <c r="C81" s="56">
        <f>1.53+0.8</f>
        <v>2.33</v>
      </c>
      <c r="D81" s="56">
        <v>4.1500000000000004</v>
      </c>
      <c r="E81" s="72"/>
      <c r="F81" s="72"/>
      <c r="G81" s="56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56"/>
      <c r="S81" s="72"/>
      <c r="T81" s="72"/>
      <c r="U81" s="72"/>
      <c r="V81" s="56"/>
      <c r="W81" s="72"/>
      <c r="X81" s="72"/>
      <c r="Y81" s="72"/>
      <c r="Z81" s="72"/>
      <c r="AA81" s="56"/>
      <c r="AB81" s="56"/>
      <c r="AC81" s="56"/>
      <c r="AD81" s="72"/>
      <c r="AE81" s="56"/>
      <c r="AF81" s="56"/>
      <c r="AH81" s="56"/>
      <c r="AI81" s="72">
        <f>C81*D81</f>
        <v>9.6695000000000011</v>
      </c>
      <c r="AJ81" s="72"/>
      <c r="AK81" s="72"/>
      <c r="AL81" s="56"/>
      <c r="AM81" s="72"/>
      <c r="AN81" s="72"/>
      <c r="AO81" s="72"/>
      <c r="AP81" s="72"/>
      <c r="AQ81" s="72"/>
      <c r="AR81" s="72"/>
      <c r="AS81" s="56"/>
      <c r="AT81" s="72"/>
      <c r="AU81" s="72"/>
      <c r="AV81" s="72"/>
      <c r="AW81" s="72"/>
      <c r="AX81" s="72"/>
      <c r="AY81" s="72"/>
      <c r="AZ81" s="72"/>
      <c r="BA81" s="72"/>
      <c r="BB81" s="72"/>
      <c r="BC81" s="56"/>
      <c r="BD81" s="101"/>
      <c r="BE81" s="101"/>
      <c r="BF81" s="101"/>
      <c r="BG81" s="101"/>
      <c r="BI81" s="101"/>
      <c r="BJ81" s="101"/>
      <c r="BK81" s="101"/>
    </row>
    <row r="82" spans="1:63" s="85" customFormat="1" ht="15" customHeight="1" x14ac:dyDescent="0.35">
      <c r="A82" s="93">
        <f>'Popis del_fasada'!A132</f>
        <v>2</v>
      </c>
      <c r="B82" s="69" t="s">
        <v>36</v>
      </c>
      <c r="C82" s="72">
        <f>0.8+1.5</f>
        <v>2.2999999999999998</v>
      </c>
      <c r="D82" s="72"/>
      <c r="E82" s="72"/>
      <c r="F82" s="72"/>
      <c r="G82" s="56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56"/>
      <c r="S82" s="72"/>
      <c r="T82" s="72"/>
      <c r="U82" s="72"/>
      <c r="V82" s="56"/>
      <c r="W82" s="72"/>
      <c r="X82" s="72"/>
      <c r="Y82" s="72"/>
      <c r="Z82" s="72"/>
      <c r="AA82" s="56"/>
      <c r="AB82" s="56"/>
      <c r="AC82" s="56"/>
      <c r="AD82" s="72"/>
      <c r="AE82" s="56"/>
      <c r="AF82" s="56"/>
      <c r="AH82" s="56"/>
      <c r="AI82" s="72"/>
      <c r="AJ82" s="72">
        <f>C82</f>
        <v>2.2999999999999998</v>
      </c>
      <c r="AK82" s="72"/>
      <c r="AL82" s="56"/>
      <c r="AM82" s="72"/>
      <c r="AN82" s="72"/>
      <c r="AO82" s="72"/>
      <c r="AP82" s="72"/>
      <c r="AQ82" s="72"/>
      <c r="AR82" s="72"/>
      <c r="AS82" s="56"/>
      <c r="AT82" s="72"/>
      <c r="AU82" s="72"/>
      <c r="AV82" s="72"/>
      <c r="AW82" s="72"/>
      <c r="AX82" s="72"/>
      <c r="AY82" s="72"/>
      <c r="AZ82" s="72"/>
      <c r="BA82" s="72"/>
      <c r="BB82" s="72"/>
      <c r="BC82" s="56"/>
      <c r="BD82" s="101"/>
      <c r="BE82" s="101"/>
      <c r="BF82" s="101"/>
      <c r="BG82" s="101"/>
      <c r="BI82" s="101"/>
      <c r="BJ82" s="101"/>
      <c r="BK82" s="101"/>
    </row>
    <row r="83" spans="1:63" s="85" customFormat="1" ht="15" customHeight="1" x14ac:dyDescent="0.35">
      <c r="A83" s="93"/>
      <c r="B83" s="69"/>
      <c r="C83" s="72"/>
      <c r="D83" s="72"/>
      <c r="E83" s="72"/>
      <c r="F83" s="72"/>
      <c r="G83" s="56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56"/>
      <c r="S83" s="72"/>
      <c r="T83" s="72"/>
      <c r="U83" s="72"/>
      <c r="V83" s="56"/>
      <c r="W83" s="72"/>
      <c r="X83" s="72"/>
      <c r="Y83" s="72"/>
      <c r="Z83" s="72"/>
      <c r="AA83" s="56"/>
      <c r="AB83" s="56"/>
      <c r="AC83" s="56"/>
      <c r="AD83" s="72"/>
      <c r="AE83" s="56"/>
      <c r="AF83" s="56"/>
      <c r="AH83" s="56"/>
      <c r="AI83" s="72"/>
      <c r="AJ83" s="72"/>
      <c r="AK83" s="72"/>
      <c r="AL83" s="56"/>
      <c r="AM83" s="72"/>
      <c r="AN83" s="72"/>
      <c r="AO83" s="72"/>
      <c r="AP83" s="72"/>
      <c r="AQ83" s="72"/>
      <c r="AR83" s="72"/>
      <c r="AS83" s="56"/>
      <c r="AT83" s="72"/>
      <c r="AU83" s="72"/>
      <c r="AV83" s="72"/>
      <c r="AW83" s="72"/>
      <c r="AX83" s="72"/>
      <c r="AY83" s="72"/>
      <c r="AZ83" s="72"/>
      <c r="BA83" s="72"/>
      <c r="BB83" s="72"/>
      <c r="BC83" s="56"/>
      <c r="BD83" s="101"/>
      <c r="BE83" s="101"/>
      <c r="BF83" s="101"/>
      <c r="BG83" s="101"/>
      <c r="BI83" s="101"/>
      <c r="BJ83" s="101"/>
      <c r="BK83" s="101"/>
    </row>
    <row r="84" spans="1:63" s="85" customFormat="1" ht="15" customHeight="1" x14ac:dyDescent="0.35">
      <c r="A84" s="93"/>
      <c r="B84" s="69" t="str">
        <f>'Popis del_fasada'!B136</f>
        <v>FASADERSKA DELA</v>
      </c>
      <c r="C84" s="72"/>
      <c r="D84" s="72"/>
      <c r="E84" s="72"/>
      <c r="F84" s="72"/>
      <c r="G84" s="56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56"/>
      <c r="S84" s="72"/>
      <c r="T84" s="72"/>
      <c r="U84" s="72"/>
      <c r="V84" s="56"/>
      <c r="W84" s="72"/>
      <c r="X84" s="72"/>
      <c r="Y84" s="72"/>
      <c r="Z84" s="72"/>
      <c r="AA84" s="56"/>
      <c r="AB84" s="56"/>
      <c r="AC84" s="56"/>
      <c r="AD84" s="72"/>
      <c r="AE84" s="56"/>
      <c r="AF84" s="56"/>
      <c r="AH84" s="56"/>
      <c r="AI84" s="72"/>
      <c r="AJ84" s="72"/>
      <c r="AK84" s="72"/>
      <c r="AL84" s="56"/>
      <c r="AM84" s="72"/>
      <c r="AN84" s="72"/>
      <c r="AO84" s="72"/>
      <c r="AP84" s="72"/>
      <c r="AQ84" s="72"/>
      <c r="AR84" s="72"/>
      <c r="AS84" s="56"/>
      <c r="AT84" s="72"/>
      <c r="AU84" s="72"/>
      <c r="AV84" s="72"/>
      <c r="AW84" s="72"/>
      <c r="AX84" s="72"/>
      <c r="AY84" s="72"/>
      <c r="AZ84" s="72"/>
      <c r="BA84" s="72"/>
      <c r="BB84" s="72"/>
      <c r="BC84" s="56"/>
      <c r="BD84" s="101"/>
      <c r="BE84" s="101"/>
      <c r="BF84" s="101"/>
      <c r="BG84" s="101"/>
      <c r="BI84" s="101"/>
      <c r="BJ84" s="101"/>
      <c r="BK84" s="101"/>
    </row>
    <row r="85" spans="1:63" s="85" customFormat="1" ht="15" customHeight="1" x14ac:dyDescent="0.35">
      <c r="A85" s="93"/>
      <c r="B85" s="69"/>
      <c r="C85" s="72"/>
      <c r="D85" s="72"/>
      <c r="E85" s="72"/>
      <c r="F85" s="72"/>
      <c r="G85" s="56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56"/>
      <c r="S85" s="72"/>
      <c r="T85" s="72"/>
      <c r="U85" s="72"/>
      <c r="V85" s="56"/>
      <c r="W85" s="72"/>
      <c r="X85" s="72"/>
      <c r="Y85" s="72"/>
      <c r="Z85" s="72"/>
      <c r="AA85" s="56"/>
      <c r="AB85" s="56"/>
      <c r="AC85" s="56"/>
      <c r="AD85" s="72"/>
      <c r="AE85" s="56"/>
      <c r="AF85" s="56"/>
      <c r="AH85" s="56"/>
      <c r="AI85" s="72"/>
      <c r="AJ85" s="72"/>
      <c r="AK85" s="72"/>
      <c r="AL85" s="56"/>
      <c r="AM85" s="72"/>
      <c r="AN85" s="72"/>
      <c r="AO85" s="72"/>
      <c r="AP85" s="72"/>
      <c r="AQ85" s="72"/>
      <c r="AR85" s="72"/>
      <c r="AS85" s="56"/>
      <c r="AT85" s="72"/>
      <c r="AU85" s="72"/>
      <c r="AV85" s="72"/>
      <c r="AW85" s="72"/>
      <c r="AX85" s="72"/>
      <c r="AY85" s="72"/>
      <c r="AZ85" s="72"/>
      <c r="BA85" s="72"/>
      <c r="BB85" s="72"/>
      <c r="BC85" s="56"/>
      <c r="BD85" s="101"/>
      <c r="BE85" s="101"/>
      <c r="BF85" s="101"/>
      <c r="BG85" s="101"/>
      <c r="BI85" s="101"/>
      <c r="BJ85" s="101"/>
      <c r="BK85" s="101"/>
    </row>
    <row r="86" spans="1:63" s="85" customFormat="1" ht="15" customHeight="1" x14ac:dyDescent="0.35">
      <c r="A86" s="93" t="str">
        <f>'Popis del_fasada'!A141</f>
        <v>1</v>
      </c>
      <c r="B86" s="185" t="s">
        <v>110</v>
      </c>
      <c r="C86" s="56">
        <v>11.03</v>
      </c>
      <c r="D86" s="56">
        <f>0.87+0.3</f>
        <v>1.17</v>
      </c>
      <c r="E86" s="72"/>
      <c r="F86" s="72"/>
      <c r="G86" s="56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56"/>
      <c r="S86" s="72"/>
      <c r="T86" s="72"/>
      <c r="U86" s="72"/>
      <c r="V86" s="56"/>
      <c r="W86" s="72"/>
      <c r="X86" s="72"/>
      <c r="Y86" s="72"/>
      <c r="Z86" s="72"/>
      <c r="AA86" s="56"/>
      <c r="AB86" s="56"/>
      <c r="AC86" s="56"/>
      <c r="AD86" s="72"/>
      <c r="AE86" s="56"/>
      <c r="AF86" s="56"/>
      <c r="AH86" s="56"/>
      <c r="AI86" s="72"/>
      <c r="AJ86" s="72"/>
      <c r="AK86" s="72"/>
      <c r="AL86" s="56"/>
      <c r="AM86" s="72">
        <f>C86*D86</f>
        <v>12.905099999999999</v>
      </c>
      <c r="AN86" s="72"/>
      <c r="AO86" s="72"/>
      <c r="AP86" s="72"/>
      <c r="AQ86" s="72"/>
      <c r="AR86" s="72"/>
      <c r="AS86" s="56"/>
      <c r="AT86" s="72"/>
      <c r="AU86" s="72"/>
      <c r="AV86" s="72"/>
      <c r="AW86" s="72"/>
      <c r="AX86" s="72"/>
      <c r="AY86" s="72"/>
      <c r="AZ86" s="72"/>
      <c r="BA86" s="72"/>
      <c r="BB86" s="72"/>
      <c r="BC86" s="56"/>
      <c r="BD86" s="101"/>
      <c r="BE86" s="101"/>
      <c r="BF86" s="101"/>
      <c r="BG86" s="101"/>
      <c r="BI86" s="101"/>
      <c r="BJ86" s="101"/>
      <c r="BK86" s="101"/>
    </row>
    <row r="87" spans="1:63" s="85" customFormat="1" ht="15" customHeight="1" x14ac:dyDescent="0.35">
      <c r="A87" s="93" t="str">
        <f>'Popis del_fasada'!A143</f>
        <v>2</v>
      </c>
      <c r="B87" s="69" t="s">
        <v>111</v>
      </c>
      <c r="C87" s="56"/>
      <c r="D87" s="56"/>
      <c r="E87" s="72"/>
      <c r="F87" s="72"/>
      <c r="G87" s="56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56"/>
      <c r="S87" s="72"/>
      <c r="T87" s="72"/>
      <c r="U87" s="72"/>
      <c r="V87" s="56"/>
      <c r="W87" s="72"/>
      <c r="X87" s="72"/>
      <c r="Y87" s="72"/>
      <c r="Z87" s="72"/>
      <c r="AA87" s="56"/>
      <c r="AB87" s="56"/>
      <c r="AC87" s="56"/>
      <c r="AD87" s="72"/>
      <c r="AE87" s="56"/>
      <c r="AF87" s="56"/>
      <c r="AH87" s="56"/>
      <c r="AI87" s="72"/>
      <c r="AJ87" s="72"/>
      <c r="AK87" s="72"/>
      <c r="AL87" s="56"/>
      <c r="AM87" s="72"/>
      <c r="AN87" s="72"/>
      <c r="AO87" s="72"/>
      <c r="AP87" s="72"/>
      <c r="AQ87" s="72"/>
      <c r="AR87" s="72"/>
      <c r="AS87" s="56"/>
      <c r="AT87" s="72"/>
      <c r="AU87" s="72"/>
      <c r="AV87" s="72"/>
      <c r="AW87" s="72"/>
      <c r="AX87" s="72"/>
      <c r="AY87" s="72"/>
      <c r="AZ87" s="72"/>
      <c r="BA87" s="72"/>
      <c r="BB87" s="72"/>
      <c r="BC87" s="56"/>
      <c r="BD87" s="101"/>
      <c r="BE87" s="101"/>
      <c r="BF87" s="101"/>
      <c r="BG87" s="101"/>
      <c r="BI87" s="101"/>
      <c r="BJ87" s="101"/>
      <c r="BK87" s="101"/>
    </row>
    <row r="88" spans="1:63" s="85" customFormat="1" ht="15" customHeight="1" x14ac:dyDescent="0.35">
      <c r="A88" s="93"/>
      <c r="B88" s="69" t="s">
        <v>147</v>
      </c>
      <c r="C88" s="56">
        <v>11.03</v>
      </c>
      <c r="D88" s="56">
        <v>6.88</v>
      </c>
      <c r="E88" s="72"/>
      <c r="F88" s="72"/>
      <c r="G88" s="56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56"/>
      <c r="S88" s="72"/>
      <c r="T88" s="72"/>
      <c r="U88" s="72"/>
      <c r="V88" s="56"/>
      <c r="W88" s="72"/>
      <c r="X88" s="72"/>
      <c r="Y88" s="72"/>
      <c r="Z88" s="72"/>
      <c r="AA88" s="56"/>
      <c r="AB88" s="56"/>
      <c r="AC88" s="56"/>
      <c r="AD88" s="72"/>
      <c r="AE88" s="56"/>
      <c r="AF88" s="56"/>
      <c r="AH88" s="56"/>
      <c r="AI88" s="72"/>
      <c r="AJ88" s="72"/>
      <c r="AK88" s="72"/>
      <c r="AL88" s="56"/>
      <c r="AM88" s="72"/>
      <c r="AN88" s="72">
        <f>C88*D88</f>
        <v>75.886399999999995</v>
      </c>
      <c r="AO88" s="72"/>
      <c r="AP88" s="72"/>
      <c r="AQ88" s="72"/>
      <c r="AR88" s="72"/>
      <c r="AS88" s="56"/>
      <c r="AT88" s="72"/>
      <c r="AU88" s="72"/>
      <c r="AV88" s="72"/>
      <c r="AW88" s="72"/>
      <c r="AX88" s="72"/>
      <c r="AY88" s="72"/>
      <c r="AZ88" s="72"/>
      <c r="BA88" s="72"/>
      <c r="BB88" s="72"/>
      <c r="BC88" s="56"/>
      <c r="BD88" s="101"/>
      <c r="BE88" s="101"/>
      <c r="BF88" s="101"/>
      <c r="BG88" s="101"/>
      <c r="BI88" s="101"/>
      <c r="BJ88" s="101"/>
      <c r="BK88" s="101"/>
    </row>
    <row r="89" spans="1:63" s="85" customFormat="1" ht="15" customHeight="1" x14ac:dyDescent="0.35">
      <c r="A89" s="93"/>
      <c r="B89" s="69" t="s">
        <v>148</v>
      </c>
      <c r="C89" s="56">
        <v>1.53</v>
      </c>
      <c r="D89" s="56">
        <v>2.97</v>
      </c>
      <c r="E89" s="72"/>
      <c r="F89" s="72"/>
      <c r="G89" s="56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56"/>
      <c r="S89" s="72"/>
      <c r="T89" s="72"/>
      <c r="U89" s="72"/>
      <c r="V89" s="56"/>
      <c r="W89" s="72"/>
      <c r="X89" s="72"/>
      <c r="Y89" s="72"/>
      <c r="Z89" s="72"/>
      <c r="AA89" s="56"/>
      <c r="AB89" s="56"/>
      <c r="AC89" s="56"/>
      <c r="AD89" s="72"/>
      <c r="AE89" s="56"/>
      <c r="AF89" s="56"/>
      <c r="AH89" s="56"/>
      <c r="AI89" s="72"/>
      <c r="AJ89" s="72"/>
      <c r="AK89" s="72"/>
      <c r="AL89" s="56"/>
      <c r="AM89" s="72"/>
      <c r="AN89" s="72">
        <f>C89*D89</f>
        <v>4.5441000000000003</v>
      </c>
      <c r="AO89" s="72"/>
      <c r="AP89" s="72"/>
      <c r="AQ89" s="72"/>
      <c r="AR89" s="72"/>
      <c r="AS89" s="56"/>
      <c r="AT89" s="72"/>
      <c r="AU89" s="72"/>
      <c r="AV89" s="72"/>
      <c r="AW89" s="72"/>
      <c r="AX89" s="72"/>
      <c r="AY89" s="72"/>
      <c r="AZ89" s="72"/>
      <c r="BA89" s="72"/>
      <c r="BB89" s="72"/>
      <c r="BC89" s="56"/>
      <c r="BD89" s="101"/>
      <c r="BE89" s="101"/>
      <c r="BF89" s="101"/>
      <c r="BG89" s="101"/>
      <c r="BI89" s="101"/>
      <c r="BJ89" s="101"/>
      <c r="BK89" s="101"/>
    </row>
    <row r="90" spans="1:63" s="85" customFormat="1" ht="15" customHeight="1" x14ac:dyDescent="0.35">
      <c r="A90" s="93" t="str">
        <f>'Popis del_fasada'!A145</f>
        <v>3</v>
      </c>
      <c r="B90" s="69" t="s">
        <v>112</v>
      </c>
      <c r="C90" s="56"/>
      <c r="D90" s="56"/>
      <c r="E90" s="72"/>
      <c r="F90" s="72"/>
      <c r="G90" s="56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56"/>
      <c r="S90" s="72"/>
      <c r="T90" s="72"/>
      <c r="U90" s="72"/>
      <c r="V90" s="56"/>
      <c r="W90" s="72"/>
      <c r="X90" s="72"/>
      <c r="Y90" s="72"/>
      <c r="Z90" s="72"/>
      <c r="AA90" s="56"/>
      <c r="AB90" s="56"/>
      <c r="AC90" s="56"/>
      <c r="AD90" s="72"/>
      <c r="AE90" s="56"/>
      <c r="AF90" s="56"/>
      <c r="AH90" s="56"/>
      <c r="AI90" s="72"/>
      <c r="AJ90" s="72"/>
      <c r="AK90" s="72"/>
      <c r="AL90" s="56"/>
      <c r="AM90" s="72"/>
      <c r="AN90" s="72"/>
      <c r="AO90" s="72"/>
      <c r="AP90" s="72"/>
      <c r="AQ90" s="72"/>
      <c r="AR90" s="72"/>
      <c r="AS90" s="56"/>
      <c r="AT90" s="72"/>
      <c r="AU90" s="72"/>
      <c r="AV90" s="72"/>
      <c r="AW90" s="72"/>
      <c r="AX90" s="72"/>
      <c r="AY90" s="72"/>
      <c r="AZ90" s="72"/>
      <c r="BA90" s="72"/>
      <c r="BB90" s="72"/>
      <c r="BC90" s="56"/>
      <c r="BD90" s="101"/>
      <c r="BE90" s="101"/>
      <c r="BF90" s="101"/>
      <c r="BG90" s="101"/>
      <c r="BI90" s="101"/>
      <c r="BJ90" s="101"/>
      <c r="BK90" s="101"/>
    </row>
    <row r="91" spans="1:63" s="85" customFormat="1" ht="15" customHeight="1" x14ac:dyDescent="0.45">
      <c r="A91" s="93"/>
      <c r="B91" s="56" t="s">
        <v>239</v>
      </c>
      <c r="C91" s="56">
        <v>1.39</v>
      </c>
      <c r="D91" s="56">
        <v>1.39</v>
      </c>
      <c r="E91" s="56">
        <v>4</v>
      </c>
      <c r="F91" s="72">
        <f>0.35-0.2</f>
        <v>0.14999999999999997</v>
      </c>
      <c r="G91" s="56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56"/>
      <c r="S91" s="72"/>
      <c r="T91" s="72"/>
      <c r="U91" s="72"/>
      <c r="V91" s="56"/>
      <c r="W91" s="72"/>
      <c r="X91" s="72"/>
      <c r="Y91" s="72"/>
      <c r="Z91" s="72"/>
      <c r="AA91" s="56"/>
      <c r="AB91" s="56"/>
      <c r="AC91" s="56"/>
      <c r="AD91" s="72"/>
      <c r="AE91" s="56"/>
      <c r="AF91" s="56"/>
      <c r="AH91" s="56"/>
      <c r="AI91" s="72"/>
      <c r="AJ91" s="72"/>
      <c r="AK91" s="72"/>
      <c r="AL91" s="56"/>
      <c r="AM91" s="72"/>
      <c r="AN91" s="72">
        <f>-C91*D91*E91</f>
        <v>-7.7283999999999988</v>
      </c>
      <c r="AO91" s="72">
        <f>(C91+2*D91)*E91*$C$6</f>
        <v>2.1684000000000001</v>
      </c>
      <c r="AP91" s="72">
        <f>(C91+2*D91)*E91*F91</f>
        <v>2.5019999999999993</v>
      </c>
      <c r="AQ91" s="72"/>
      <c r="AR91" s="72"/>
      <c r="AS91" s="56"/>
      <c r="AT91" s="72"/>
      <c r="AU91" s="72"/>
      <c r="AV91" s="72"/>
      <c r="AW91" s="72"/>
      <c r="AX91" s="72"/>
      <c r="AY91" s="72"/>
      <c r="AZ91" s="72"/>
      <c r="BA91" s="72"/>
      <c r="BB91" s="72"/>
      <c r="BC91" s="56"/>
      <c r="BD91" s="101"/>
      <c r="BE91" s="101"/>
      <c r="BF91" s="101"/>
      <c r="BG91" s="101"/>
      <c r="BI91" s="101"/>
      <c r="BJ91" s="101"/>
      <c r="BK91" s="101"/>
    </row>
    <row r="92" spans="1:63" s="85" customFormat="1" ht="15" customHeight="1" x14ac:dyDescent="0.35">
      <c r="A92" s="93"/>
      <c r="B92" s="56" t="s">
        <v>149</v>
      </c>
      <c r="C92" s="72">
        <v>2.02</v>
      </c>
      <c r="D92" s="72">
        <v>0.95</v>
      </c>
      <c r="E92" s="56">
        <v>1</v>
      </c>
      <c r="F92" s="72">
        <v>0.15</v>
      </c>
      <c r="G92" s="56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56"/>
      <c r="S92" s="72"/>
      <c r="T92" s="72"/>
      <c r="U92" s="72"/>
      <c r="V92" s="56"/>
      <c r="W92" s="72"/>
      <c r="X92" s="72"/>
      <c r="Y92" s="72"/>
      <c r="Z92" s="72"/>
      <c r="AA92" s="56"/>
      <c r="AB92" s="56"/>
      <c r="AC92" s="56"/>
      <c r="AD92" s="72"/>
      <c r="AE92" s="56"/>
      <c r="AF92" s="56"/>
      <c r="AH92" s="56"/>
      <c r="AI92" s="72"/>
      <c r="AJ92" s="72"/>
      <c r="AK92" s="72"/>
      <c r="AL92" s="56"/>
      <c r="AM92" s="72"/>
      <c r="AN92" s="72">
        <f>-C92*D92*E92</f>
        <v>-1.9189999999999998</v>
      </c>
      <c r="AO92" s="72">
        <f>(C92+2*D92)*E92*$C$6</f>
        <v>0.50960000000000005</v>
      </c>
      <c r="AP92" s="72">
        <f>(C92+2*D92)*E92*F92</f>
        <v>0.58799999999999997</v>
      </c>
      <c r="AQ92" s="72"/>
      <c r="AR92" s="72"/>
      <c r="AS92" s="56"/>
      <c r="AT92" s="72"/>
      <c r="AU92" s="72"/>
      <c r="AV92" s="72"/>
      <c r="AW92" s="72"/>
      <c r="AX92" s="72"/>
      <c r="AY92" s="72"/>
      <c r="AZ92" s="72"/>
      <c r="BA92" s="72"/>
      <c r="BB92" s="72"/>
      <c r="BC92" s="56"/>
      <c r="BD92" s="101"/>
      <c r="BE92" s="101"/>
      <c r="BF92" s="101"/>
      <c r="BG92" s="101"/>
      <c r="BI92" s="101"/>
      <c r="BJ92" s="101"/>
      <c r="BK92" s="101"/>
    </row>
    <row r="93" spans="1:63" s="85" customFormat="1" ht="15" customHeight="1" x14ac:dyDescent="0.35">
      <c r="A93" s="93">
        <f>'Popis del_fasada'!A149</f>
        <v>5</v>
      </c>
      <c r="B93" s="69" t="s">
        <v>120</v>
      </c>
      <c r="C93" s="56"/>
      <c r="D93" s="56"/>
      <c r="E93" s="56"/>
      <c r="F93" s="72"/>
      <c r="G93" s="56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56"/>
      <c r="S93" s="72"/>
      <c r="T93" s="72"/>
      <c r="U93" s="72"/>
      <c r="V93" s="56"/>
      <c r="W93" s="72"/>
      <c r="X93" s="72"/>
      <c r="Y93" s="72"/>
      <c r="Z93" s="72"/>
      <c r="AA93" s="56"/>
      <c r="AB93" s="56"/>
      <c r="AC93" s="56"/>
      <c r="AD93" s="72"/>
      <c r="AE93" s="56"/>
      <c r="AF93" s="56"/>
      <c r="AH93" s="56"/>
      <c r="AI93" s="72"/>
      <c r="AJ93" s="72"/>
      <c r="AK93" s="72"/>
      <c r="AL93" s="56"/>
      <c r="AM93" s="72"/>
      <c r="AN93" s="72"/>
      <c r="AO93" s="72"/>
      <c r="AP93" s="72"/>
      <c r="AQ93" s="72"/>
      <c r="AR93" s="72"/>
      <c r="AS93" s="56"/>
      <c r="AT93" s="72"/>
      <c r="AU93" s="72"/>
      <c r="AV93" s="72"/>
      <c r="AW93" s="72"/>
      <c r="AX93" s="72"/>
      <c r="AY93" s="72"/>
      <c r="AZ93" s="72"/>
      <c r="BA93" s="72"/>
      <c r="BB93" s="72"/>
      <c r="BC93" s="56"/>
      <c r="BD93" s="101"/>
      <c r="BE93" s="101"/>
      <c r="BF93" s="101"/>
      <c r="BG93" s="101"/>
      <c r="BI93" s="101"/>
      <c r="BJ93" s="101"/>
      <c r="BK93" s="101"/>
    </row>
    <row r="94" spans="1:63" s="85" customFormat="1" ht="15" customHeight="1" x14ac:dyDescent="0.35">
      <c r="A94" s="93"/>
      <c r="B94" s="69" t="s">
        <v>147</v>
      </c>
      <c r="C94" s="56">
        <f>0.15+11.03+0.15</f>
        <v>11.33</v>
      </c>
      <c r="D94" s="56">
        <f>7.94+0.3</f>
        <v>8.24</v>
      </c>
      <c r="E94" s="56"/>
      <c r="F94" s="72"/>
      <c r="G94" s="56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56"/>
      <c r="S94" s="72"/>
      <c r="T94" s="72"/>
      <c r="U94" s="72"/>
      <c r="V94" s="56"/>
      <c r="W94" s="72"/>
      <c r="X94" s="72"/>
      <c r="Y94" s="72"/>
      <c r="Z94" s="72"/>
      <c r="AA94" s="56"/>
      <c r="AB94" s="56"/>
      <c r="AC94" s="56"/>
      <c r="AD94" s="72"/>
      <c r="AE94" s="56"/>
      <c r="AF94" s="56"/>
      <c r="AH94" s="56"/>
      <c r="AI94" s="72"/>
      <c r="AJ94" s="72"/>
      <c r="AK94" s="72"/>
      <c r="AL94" s="56"/>
      <c r="AM94" s="72"/>
      <c r="AN94" s="72"/>
      <c r="AO94" s="72"/>
      <c r="AP94" s="72">
        <f>C94*D94</f>
        <v>93.359200000000001</v>
      </c>
      <c r="AQ94" s="72"/>
      <c r="AR94" s="72"/>
      <c r="AS94" s="56"/>
      <c r="AT94" s="72"/>
      <c r="AU94" s="72"/>
      <c r="AV94" s="72"/>
      <c r="AW94" s="72"/>
      <c r="AX94" s="72"/>
      <c r="AY94" s="72"/>
      <c r="AZ94" s="72"/>
      <c r="BA94" s="72"/>
      <c r="BB94" s="72"/>
      <c r="BC94" s="56"/>
      <c r="BD94" s="101"/>
      <c r="BE94" s="101"/>
      <c r="BF94" s="101"/>
      <c r="BG94" s="101"/>
      <c r="BI94" s="101"/>
      <c r="BJ94" s="101"/>
      <c r="BK94" s="101"/>
    </row>
    <row r="95" spans="1:63" s="85" customFormat="1" ht="15" customHeight="1" x14ac:dyDescent="0.35">
      <c r="A95" s="93"/>
      <c r="B95" s="69" t="s">
        <v>148</v>
      </c>
      <c r="C95" s="56">
        <v>1.53</v>
      </c>
      <c r="D95" s="56">
        <v>2.97</v>
      </c>
      <c r="E95" s="56"/>
      <c r="F95" s="72"/>
      <c r="G95" s="56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56"/>
      <c r="S95" s="72"/>
      <c r="T95" s="72"/>
      <c r="U95" s="72"/>
      <c r="V95" s="56"/>
      <c r="W95" s="72"/>
      <c r="X95" s="72"/>
      <c r="Y95" s="72"/>
      <c r="Z95" s="72"/>
      <c r="AA95" s="56"/>
      <c r="AB95" s="56"/>
      <c r="AC95" s="56"/>
      <c r="AD95" s="72"/>
      <c r="AE95" s="56"/>
      <c r="AF95" s="56"/>
      <c r="AH95" s="56"/>
      <c r="AI95" s="72"/>
      <c r="AJ95" s="72"/>
      <c r="AK95" s="72"/>
      <c r="AL95" s="56"/>
      <c r="AM95" s="72"/>
      <c r="AN95" s="72"/>
      <c r="AO95" s="72"/>
      <c r="AP95" s="72">
        <f>C95*D95</f>
        <v>4.5441000000000003</v>
      </c>
      <c r="AQ95" s="72"/>
      <c r="AR95" s="72"/>
      <c r="AS95" s="56"/>
      <c r="AT95" s="72"/>
      <c r="AU95" s="72"/>
      <c r="AV95" s="72"/>
      <c r="AW95" s="72"/>
      <c r="AX95" s="72"/>
      <c r="AY95" s="72"/>
      <c r="AZ95" s="72"/>
      <c r="BA95" s="72"/>
      <c r="BB95" s="72"/>
      <c r="BC95" s="56"/>
      <c r="BD95" s="101"/>
      <c r="BE95" s="101"/>
      <c r="BF95" s="101"/>
      <c r="BG95" s="101"/>
      <c r="BI95" s="101"/>
      <c r="BJ95" s="101"/>
      <c r="BK95" s="101"/>
    </row>
    <row r="96" spans="1:63" s="85" customFormat="1" ht="15" customHeight="1" x14ac:dyDescent="0.35">
      <c r="A96" s="93"/>
      <c r="B96" s="56"/>
      <c r="C96" s="56"/>
      <c r="D96" s="56"/>
      <c r="E96" s="56"/>
      <c r="F96" s="56"/>
      <c r="G96" s="56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56"/>
      <c r="S96" s="72"/>
      <c r="T96" s="72"/>
      <c r="U96" s="72"/>
      <c r="V96" s="56"/>
      <c r="W96" s="72"/>
      <c r="X96" s="72"/>
      <c r="Y96" s="72"/>
      <c r="Z96" s="72"/>
      <c r="AA96" s="56"/>
      <c r="AB96" s="56"/>
      <c r="AC96" s="56"/>
      <c r="AD96" s="72"/>
      <c r="AE96" s="56"/>
      <c r="AF96" s="56"/>
      <c r="AH96" s="56"/>
      <c r="AI96" s="72"/>
      <c r="AJ96" s="72"/>
      <c r="AK96" s="72"/>
      <c r="AL96" s="56"/>
      <c r="AM96" s="72"/>
      <c r="AN96" s="72"/>
      <c r="AO96" s="72"/>
      <c r="AP96" s="72"/>
      <c r="AQ96" s="72"/>
      <c r="AR96" s="72"/>
      <c r="AS96" s="56"/>
      <c r="AT96" s="72"/>
      <c r="AU96" s="72"/>
      <c r="AV96" s="72"/>
      <c r="AW96" s="72"/>
      <c r="AX96" s="72"/>
      <c r="AY96" s="72"/>
      <c r="AZ96" s="72"/>
      <c r="BA96" s="72"/>
      <c r="BB96" s="72"/>
      <c r="BC96" s="56"/>
      <c r="BD96" s="101">
        <f>C96*D96*E96</f>
        <v>0</v>
      </c>
      <c r="BE96" s="101"/>
      <c r="BF96" s="101"/>
      <c r="BG96" s="101"/>
      <c r="BI96" s="101"/>
      <c r="BJ96" s="101"/>
      <c r="BK96" s="101"/>
    </row>
    <row r="97" spans="1:63" s="85" customFormat="1" ht="15" customHeight="1" x14ac:dyDescent="0.35">
      <c r="A97" s="93"/>
      <c r="B97" s="69" t="str">
        <f>'Popis del_fasada'!B155</f>
        <v>KLEPARSKA DELA</v>
      </c>
      <c r="C97" s="72"/>
      <c r="D97" s="72"/>
      <c r="E97" s="72"/>
      <c r="F97" s="56"/>
      <c r="G97" s="56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56"/>
      <c r="S97" s="72"/>
      <c r="T97" s="72"/>
      <c r="U97" s="72"/>
      <c r="V97" s="56"/>
      <c r="W97" s="72"/>
      <c r="X97" s="72"/>
      <c r="Y97" s="72"/>
      <c r="Z97" s="72"/>
      <c r="AA97" s="56"/>
      <c r="AB97" s="56"/>
      <c r="AC97" s="56"/>
      <c r="AD97" s="72"/>
      <c r="AE97" s="56"/>
      <c r="AF97" s="56"/>
      <c r="AH97" s="56"/>
      <c r="AI97" s="72"/>
      <c r="AJ97" s="72"/>
      <c r="AK97" s="72"/>
      <c r="AL97" s="56"/>
      <c r="AM97" s="72"/>
      <c r="AN97" s="72"/>
      <c r="AO97" s="72"/>
      <c r="AP97" s="72"/>
      <c r="AQ97" s="72"/>
      <c r="AR97" s="72"/>
      <c r="AS97" s="56"/>
      <c r="AT97" s="72"/>
      <c r="AU97" s="72"/>
      <c r="AV97" s="72"/>
      <c r="AW97" s="72"/>
      <c r="AX97" s="72"/>
      <c r="AY97" s="72"/>
      <c r="AZ97" s="72"/>
      <c r="BA97" s="72"/>
      <c r="BB97" s="72"/>
      <c r="BC97" s="56"/>
      <c r="BD97" s="101">
        <f>C97*D97*E97</f>
        <v>0</v>
      </c>
      <c r="BE97" s="101"/>
      <c r="BF97" s="101"/>
      <c r="BG97" s="101"/>
      <c r="BI97" s="101"/>
      <c r="BJ97" s="101"/>
      <c r="BK97" s="101"/>
    </row>
    <row r="98" spans="1:63" s="85" customFormat="1" ht="15" customHeight="1" x14ac:dyDescent="0.35">
      <c r="A98" s="93">
        <f>'Popis del_fasada'!A157</f>
        <v>1</v>
      </c>
      <c r="B98" s="69" t="s">
        <v>143</v>
      </c>
      <c r="C98" s="101">
        <f>0.89+7.06+0.2</f>
        <v>8.1499999999999986</v>
      </c>
      <c r="D98" s="56"/>
      <c r="E98" s="56"/>
      <c r="F98" s="56"/>
      <c r="G98" s="56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56"/>
      <c r="S98" s="72"/>
      <c r="T98" s="72"/>
      <c r="U98" s="72"/>
      <c r="V98" s="56"/>
      <c r="W98" s="72"/>
      <c r="X98" s="72"/>
      <c r="Y98" s="72"/>
      <c r="Z98" s="72"/>
      <c r="AA98" s="56"/>
      <c r="AB98" s="56"/>
      <c r="AC98" s="56"/>
      <c r="AD98" s="72"/>
      <c r="AE98" s="56"/>
      <c r="AF98" s="56"/>
      <c r="AH98" s="56"/>
      <c r="AI98" s="72"/>
      <c r="AJ98" s="72"/>
      <c r="AK98" s="72"/>
      <c r="AL98" s="56"/>
      <c r="AM98" s="72"/>
      <c r="AN98" s="72"/>
      <c r="AO98" s="72"/>
      <c r="AP98" s="72"/>
      <c r="AQ98" s="72"/>
      <c r="AR98" s="72"/>
      <c r="AS98" s="56"/>
      <c r="AT98" s="72">
        <f>C98</f>
        <v>8.1499999999999986</v>
      </c>
      <c r="AU98" s="72"/>
      <c r="AV98" s="72"/>
      <c r="AW98" s="72"/>
      <c r="AX98" s="72"/>
      <c r="AY98" s="72"/>
      <c r="AZ98" s="72"/>
      <c r="BA98" s="72"/>
      <c r="BB98" s="72"/>
      <c r="BC98" s="56"/>
      <c r="BD98" s="101">
        <f>C98*D98*E98</f>
        <v>0</v>
      </c>
      <c r="BE98" s="101"/>
      <c r="BF98" s="101"/>
      <c r="BG98" s="101"/>
      <c r="BI98" s="101"/>
      <c r="BJ98" s="101"/>
      <c r="BK98" s="101"/>
    </row>
    <row r="99" spans="1:63" s="85" customFormat="1" ht="15" customHeight="1" x14ac:dyDescent="0.35">
      <c r="A99" s="93"/>
      <c r="B99" s="56"/>
      <c r="C99" s="101"/>
      <c r="D99" s="101"/>
      <c r="E99" s="101"/>
      <c r="F99" s="56"/>
      <c r="G99" s="56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56"/>
      <c r="S99" s="72"/>
      <c r="T99" s="72"/>
      <c r="U99" s="72"/>
      <c r="V99" s="56"/>
      <c r="W99" s="72"/>
      <c r="X99" s="72"/>
      <c r="Y99" s="72"/>
      <c r="Z99" s="72"/>
      <c r="AA99" s="56"/>
      <c r="AB99" s="56"/>
      <c r="AC99" s="56"/>
      <c r="AD99" s="72"/>
      <c r="AE99" s="56"/>
      <c r="AF99" s="56"/>
      <c r="AH99" s="56"/>
      <c r="AI99" s="72"/>
      <c r="AJ99" s="72"/>
      <c r="AK99" s="72"/>
      <c r="AL99" s="56"/>
      <c r="AM99" s="72"/>
      <c r="AN99" s="72"/>
      <c r="AO99" s="72"/>
      <c r="AP99" s="72"/>
      <c r="AQ99" s="72"/>
      <c r="AR99" s="72"/>
      <c r="AS99" s="56"/>
      <c r="AT99" s="72"/>
      <c r="AU99" s="72"/>
      <c r="AV99" s="72"/>
      <c r="AW99" s="72"/>
      <c r="AX99" s="72"/>
      <c r="AY99" s="72"/>
      <c r="AZ99" s="72"/>
      <c r="BA99" s="72"/>
      <c r="BB99" s="72"/>
      <c r="BC99" s="56"/>
      <c r="BD99" s="101">
        <f>C99*D99*E99</f>
        <v>0</v>
      </c>
      <c r="BE99" s="101"/>
      <c r="BF99" s="101"/>
      <c r="BG99" s="101"/>
      <c r="BI99" s="101"/>
      <c r="BJ99" s="101"/>
      <c r="BK99" s="101"/>
    </row>
    <row r="100" spans="1:63" s="85" customFormat="1" ht="15" customHeight="1" x14ac:dyDescent="0.35">
      <c r="A100" s="93"/>
      <c r="B100" s="69" t="str">
        <f>'Popis del_fasada'!B217</f>
        <v>RAZNA DELA</v>
      </c>
      <c r="C100" s="101"/>
      <c r="D100" s="101"/>
      <c r="E100" s="101"/>
      <c r="F100" s="56"/>
      <c r="G100" s="56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56"/>
      <c r="S100" s="72"/>
      <c r="T100" s="72"/>
      <c r="U100" s="72"/>
      <c r="V100" s="56"/>
      <c r="W100" s="72"/>
      <c r="X100" s="72"/>
      <c r="Y100" s="72"/>
      <c r="Z100" s="72"/>
      <c r="AA100" s="56"/>
      <c r="AB100" s="56"/>
      <c r="AC100" s="56"/>
      <c r="AD100" s="72"/>
      <c r="AE100" s="56"/>
      <c r="AF100" s="56"/>
      <c r="AH100" s="56"/>
      <c r="AI100" s="72"/>
      <c r="AJ100" s="72"/>
      <c r="AK100" s="72"/>
      <c r="AL100" s="56"/>
      <c r="AM100" s="72"/>
      <c r="AN100" s="72"/>
      <c r="AO100" s="72"/>
      <c r="AP100" s="72"/>
      <c r="AQ100" s="72"/>
      <c r="AR100" s="72"/>
      <c r="AS100" s="56"/>
      <c r="AT100" s="72"/>
      <c r="AU100" s="72"/>
      <c r="AV100" s="72"/>
      <c r="AW100" s="72"/>
      <c r="AX100" s="72"/>
      <c r="AY100" s="72"/>
      <c r="AZ100" s="72"/>
      <c r="BA100" s="72"/>
      <c r="BB100" s="72"/>
      <c r="BC100" s="56"/>
      <c r="BD100" s="101"/>
      <c r="BE100" s="101"/>
      <c r="BF100" s="101"/>
      <c r="BG100" s="101"/>
      <c r="BI100" s="101"/>
      <c r="BJ100" s="101"/>
      <c r="BK100" s="101"/>
    </row>
    <row r="101" spans="1:63" s="85" customFormat="1" ht="15" customHeight="1" x14ac:dyDescent="0.35">
      <c r="A101" s="93">
        <f>'Popis del_fasada'!A237</f>
        <v>10</v>
      </c>
      <c r="B101" s="69" t="s">
        <v>140</v>
      </c>
      <c r="C101" s="56"/>
      <c r="D101" s="56"/>
      <c r="E101" s="56">
        <f>8</f>
        <v>8</v>
      </c>
      <c r="F101" s="56"/>
      <c r="G101" s="56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56"/>
      <c r="S101" s="72"/>
      <c r="T101" s="72"/>
      <c r="U101" s="72"/>
      <c r="V101" s="56"/>
      <c r="W101" s="72"/>
      <c r="X101" s="72"/>
      <c r="Y101" s="72"/>
      <c r="Z101" s="72"/>
      <c r="AA101" s="56"/>
      <c r="AB101" s="56"/>
      <c r="AC101" s="56"/>
      <c r="AD101" s="72"/>
      <c r="AE101" s="56"/>
      <c r="AF101" s="56"/>
      <c r="AH101" s="56"/>
      <c r="AI101" s="72"/>
      <c r="AJ101" s="72"/>
      <c r="AK101" s="72"/>
      <c r="AL101" s="56"/>
      <c r="AM101" s="72"/>
      <c r="AN101" s="72"/>
      <c r="AO101" s="72"/>
      <c r="AP101" s="72"/>
      <c r="AQ101" s="72"/>
      <c r="AR101" s="72"/>
      <c r="AS101" s="56"/>
      <c r="AT101" s="72"/>
      <c r="AU101" s="72"/>
      <c r="AV101" s="72"/>
      <c r="AW101" s="72"/>
      <c r="AX101" s="72"/>
      <c r="AY101" s="72"/>
      <c r="AZ101" s="72"/>
      <c r="BA101" s="72"/>
      <c r="BB101" s="72"/>
      <c r="BC101" s="56"/>
      <c r="BD101" s="101"/>
      <c r="BE101" s="101"/>
      <c r="BF101" s="101"/>
      <c r="BG101" s="101"/>
      <c r="BI101" s="101">
        <f>E101</f>
        <v>8</v>
      </c>
      <c r="BJ101" s="101"/>
      <c r="BK101" s="101"/>
    </row>
    <row r="102" spans="1:63" s="85" customFormat="1" ht="15" customHeight="1" x14ac:dyDescent="0.35">
      <c r="A102" s="141"/>
      <c r="B102" s="51"/>
      <c r="C102" s="91"/>
      <c r="D102" s="91"/>
      <c r="E102" s="76"/>
      <c r="F102" s="53"/>
      <c r="G102" s="53"/>
      <c r="H102" s="91"/>
      <c r="I102" s="91"/>
      <c r="J102" s="91"/>
      <c r="K102" s="74"/>
      <c r="L102" s="74"/>
      <c r="M102" s="74"/>
      <c r="N102" s="74"/>
      <c r="O102" s="74"/>
      <c r="P102" s="91"/>
      <c r="Q102" s="74"/>
      <c r="R102" s="98"/>
      <c r="S102" s="91"/>
      <c r="T102" s="91"/>
      <c r="U102" s="91"/>
      <c r="V102" s="98"/>
      <c r="W102" s="91"/>
      <c r="X102" s="91"/>
      <c r="Y102" s="91"/>
      <c r="Z102" s="91"/>
      <c r="AA102" s="98"/>
      <c r="AB102" s="98"/>
      <c r="AC102" s="98"/>
      <c r="AD102" s="91"/>
      <c r="AE102" s="98"/>
      <c r="AF102" s="98"/>
      <c r="AH102" s="98"/>
      <c r="AI102" s="91"/>
      <c r="AJ102" s="91"/>
      <c r="AK102" s="91"/>
      <c r="AL102" s="53"/>
      <c r="AM102" s="91"/>
      <c r="AN102" s="74"/>
      <c r="AO102" s="74"/>
      <c r="AP102" s="74"/>
      <c r="AQ102" s="74"/>
      <c r="AR102" s="74"/>
      <c r="AS102" s="53"/>
      <c r="AT102" s="91"/>
      <c r="AU102" s="91"/>
      <c r="AV102" s="91"/>
      <c r="AW102" s="91"/>
      <c r="AX102" s="91"/>
      <c r="AY102" s="91"/>
      <c r="AZ102" s="91"/>
      <c r="BA102" s="91"/>
      <c r="BB102" s="91"/>
      <c r="BC102" s="98"/>
      <c r="BD102" s="101"/>
      <c r="BE102" s="101"/>
      <c r="BF102" s="101"/>
      <c r="BG102" s="101"/>
      <c r="BI102" s="101"/>
      <c r="BJ102" s="101"/>
      <c r="BK102" s="101"/>
    </row>
    <row r="103" spans="1:63" s="85" customFormat="1" ht="15" customHeight="1" x14ac:dyDescent="0.35">
      <c r="A103" s="141"/>
      <c r="B103" s="88" t="s">
        <v>70</v>
      </c>
      <c r="C103" s="53"/>
      <c r="D103" s="53"/>
      <c r="E103" s="53"/>
      <c r="F103" s="53"/>
      <c r="G103" s="53"/>
      <c r="H103" s="91"/>
      <c r="I103" s="91"/>
      <c r="J103" s="91"/>
      <c r="K103" s="74"/>
      <c r="L103" s="74"/>
      <c r="M103" s="74"/>
      <c r="N103" s="74"/>
      <c r="O103" s="74"/>
      <c r="P103" s="91"/>
      <c r="Q103" s="74"/>
      <c r="R103" s="98"/>
      <c r="S103" s="91"/>
      <c r="T103" s="91"/>
      <c r="U103" s="91"/>
      <c r="V103" s="98"/>
      <c r="W103" s="91"/>
      <c r="X103" s="91"/>
      <c r="Y103" s="91"/>
      <c r="Z103" s="91"/>
      <c r="AA103" s="98"/>
      <c r="AB103" s="98"/>
      <c r="AC103" s="98"/>
      <c r="AD103" s="91"/>
      <c r="AE103" s="98"/>
      <c r="AF103" s="98"/>
      <c r="AH103" s="98"/>
      <c r="AI103" s="91"/>
      <c r="AJ103" s="91"/>
      <c r="AK103" s="91"/>
      <c r="AL103" s="53"/>
      <c r="AM103" s="91"/>
      <c r="AN103" s="74"/>
      <c r="AO103" s="74"/>
      <c r="AP103" s="74"/>
      <c r="AQ103" s="74"/>
      <c r="AR103" s="74"/>
      <c r="AS103" s="53"/>
      <c r="AT103" s="91"/>
      <c r="AU103" s="91"/>
      <c r="AV103" s="91"/>
      <c r="AW103" s="91"/>
      <c r="AX103" s="91"/>
      <c r="AY103" s="91"/>
      <c r="AZ103" s="91"/>
      <c r="BA103" s="91"/>
      <c r="BB103" s="91"/>
      <c r="BC103" s="98"/>
      <c r="BD103" s="101"/>
      <c r="BE103" s="101"/>
      <c r="BF103" s="101"/>
      <c r="BG103" s="101"/>
      <c r="BI103" s="101"/>
      <c r="BJ103" s="101"/>
      <c r="BK103" s="101"/>
    </row>
    <row r="104" spans="1:63" s="85" customFormat="1" ht="15" customHeight="1" x14ac:dyDescent="0.35">
      <c r="A104" s="141"/>
      <c r="B104" s="51"/>
      <c r="C104" s="91"/>
      <c r="D104" s="91"/>
      <c r="E104" s="91"/>
      <c r="F104" s="53"/>
      <c r="G104" s="53"/>
      <c r="H104" s="91"/>
      <c r="I104" s="91"/>
      <c r="J104" s="91"/>
      <c r="K104" s="74"/>
      <c r="L104" s="74"/>
      <c r="M104" s="74"/>
      <c r="N104" s="74"/>
      <c r="O104" s="74"/>
      <c r="P104" s="91"/>
      <c r="Q104" s="74"/>
      <c r="R104" s="98"/>
      <c r="S104" s="91"/>
      <c r="T104" s="91"/>
      <c r="U104" s="91"/>
      <c r="V104" s="98"/>
      <c r="W104" s="91"/>
      <c r="X104" s="91"/>
      <c r="Y104" s="91"/>
      <c r="Z104" s="91"/>
      <c r="AA104" s="98"/>
      <c r="AB104" s="98"/>
      <c r="AC104" s="98"/>
      <c r="AD104" s="91"/>
      <c r="AE104" s="98"/>
      <c r="AF104" s="98"/>
      <c r="AH104" s="98"/>
      <c r="AI104" s="91"/>
      <c r="AJ104" s="91"/>
      <c r="AK104" s="91"/>
      <c r="AL104" s="53"/>
      <c r="AM104" s="91"/>
      <c r="AN104" s="74"/>
      <c r="AO104" s="74"/>
      <c r="AP104" s="74"/>
      <c r="AQ104" s="74"/>
      <c r="AR104" s="74"/>
      <c r="AS104" s="53"/>
      <c r="AT104" s="91"/>
      <c r="AU104" s="91"/>
      <c r="AV104" s="91"/>
      <c r="AW104" s="91"/>
      <c r="AX104" s="91"/>
      <c r="AY104" s="91"/>
      <c r="AZ104" s="91"/>
      <c r="BA104" s="91"/>
      <c r="BB104" s="91"/>
      <c r="BC104" s="98"/>
      <c r="BD104" s="101"/>
      <c r="BE104" s="101"/>
      <c r="BF104" s="101"/>
      <c r="BG104" s="101"/>
      <c r="BI104" s="101"/>
      <c r="BJ104" s="101"/>
      <c r="BK104" s="101"/>
    </row>
    <row r="105" spans="1:63" s="85" customFormat="1" ht="15" customHeight="1" x14ac:dyDescent="0.35">
      <c r="A105" s="93"/>
      <c r="B105" s="69" t="str">
        <f>'Popis del_fasada'!B27</f>
        <v>RUŠITVENA IN ODSTRANITVENA DELA</v>
      </c>
      <c r="C105" s="91"/>
      <c r="D105" s="91"/>
      <c r="E105" s="91"/>
      <c r="F105" s="53"/>
      <c r="G105" s="53"/>
      <c r="H105" s="91"/>
      <c r="I105" s="91"/>
      <c r="J105" s="91"/>
      <c r="K105" s="74"/>
      <c r="L105" s="74"/>
      <c r="M105" s="74"/>
      <c r="N105" s="74"/>
      <c r="O105" s="74"/>
      <c r="P105" s="91"/>
      <c r="Q105" s="74"/>
      <c r="R105" s="98"/>
      <c r="S105" s="91"/>
      <c r="T105" s="91"/>
      <c r="U105" s="91"/>
      <c r="V105" s="98"/>
      <c r="W105" s="91"/>
      <c r="X105" s="91"/>
      <c r="Y105" s="91"/>
      <c r="Z105" s="91"/>
      <c r="AA105" s="98"/>
      <c r="AB105" s="98"/>
      <c r="AC105" s="98"/>
      <c r="AD105" s="91"/>
      <c r="AE105" s="98"/>
      <c r="AF105" s="98"/>
      <c r="AH105" s="98"/>
      <c r="AI105" s="91"/>
      <c r="AJ105" s="91"/>
      <c r="AK105" s="91"/>
      <c r="AL105" s="53"/>
      <c r="AM105" s="91"/>
      <c r="AN105" s="74"/>
      <c r="AO105" s="74"/>
      <c r="AP105" s="74"/>
      <c r="AQ105" s="74"/>
      <c r="AR105" s="74"/>
      <c r="AS105" s="53"/>
      <c r="AT105" s="91"/>
      <c r="AU105" s="91"/>
      <c r="AV105" s="91"/>
      <c r="AW105" s="91"/>
      <c r="AX105" s="91"/>
      <c r="AY105" s="91"/>
      <c r="AZ105" s="91"/>
      <c r="BA105" s="91"/>
      <c r="BB105" s="91"/>
      <c r="BC105" s="98"/>
      <c r="BD105" s="101"/>
      <c r="BE105" s="101"/>
      <c r="BF105" s="101"/>
      <c r="BG105" s="101"/>
      <c r="BI105" s="101"/>
      <c r="BJ105" s="101"/>
      <c r="BK105" s="101"/>
    </row>
    <row r="106" spans="1:63" s="85" customFormat="1" ht="15" customHeight="1" x14ac:dyDescent="0.35">
      <c r="A106" s="93"/>
      <c r="B106" s="69"/>
      <c r="C106" s="91"/>
      <c r="D106" s="91"/>
      <c r="E106" s="91"/>
      <c r="F106" s="53"/>
      <c r="G106" s="53"/>
      <c r="H106" s="91"/>
      <c r="I106" s="91"/>
      <c r="J106" s="91"/>
      <c r="K106" s="74"/>
      <c r="L106" s="74"/>
      <c r="M106" s="74"/>
      <c r="N106" s="74"/>
      <c r="O106" s="74"/>
      <c r="P106" s="91"/>
      <c r="Q106" s="74"/>
      <c r="R106" s="98"/>
      <c r="S106" s="91"/>
      <c r="T106" s="91"/>
      <c r="U106" s="91"/>
      <c r="V106" s="98"/>
      <c r="W106" s="91"/>
      <c r="X106" s="91"/>
      <c r="Y106" s="91"/>
      <c r="Z106" s="91"/>
      <c r="AA106" s="98"/>
      <c r="AB106" s="98"/>
      <c r="AC106" s="98"/>
      <c r="AD106" s="91"/>
      <c r="AE106" s="98"/>
      <c r="AF106" s="98"/>
      <c r="AH106" s="98"/>
      <c r="AI106" s="91"/>
      <c r="AJ106" s="91"/>
      <c r="AK106" s="91"/>
      <c r="AL106" s="53"/>
      <c r="AM106" s="91"/>
      <c r="AN106" s="74"/>
      <c r="AO106" s="74"/>
      <c r="AP106" s="74"/>
      <c r="AQ106" s="74"/>
      <c r="AR106" s="74"/>
      <c r="AS106" s="53"/>
      <c r="AT106" s="91"/>
      <c r="AU106" s="91"/>
      <c r="AV106" s="91"/>
      <c r="AW106" s="91"/>
      <c r="AX106" s="91"/>
      <c r="AY106" s="91"/>
      <c r="AZ106" s="91"/>
      <c r="BA106" s="91"/>
      <c r="BB106" s="91"/>
      <c r="BC106" s="98"/>
      <c r="BD106" s="101"/>
      <c r="BE106" s="101"/>
      <c r="BF106" s="101"/>
      <c r="BG106" s="101"/>
      <c r="BI106" s="101"/>
      <c r="BJ106" s="101"/>
      <c r="BK106" s="101"/>
    </row>
    <row r="107" spans="1:63" s="85" customFormat="1" ht="15" customHeight="1" x14ac:dyDescent="0.35">
      <c r="A107" s="93" t="str">
        <f>'Popis del_fasada'!A38</f>
        <v>4</v>
      </c>
      <c r="B107" s="69" t="s">
        <v>133</v>
      </c>
      <c r="C107" s="91"/>
      <c r="D107" s="91"/>
      <c r="E107" s="91"/>
      <c r="F107" s="53"/>
      <c r="G107" s="53"/>
      <c r="H107" s="91"/>
      <c r="I107" s="91"/>
      <c r="J107" s="91"/>
      <c r="K107" s="74"/>
      <c r="L107" s="74"/>
      <c r="M107" s="74"/>
      <c r="N107" s="74"/>
      <c r="O107" s="74"/>
      <c r="P107" s="91"/>
      <c r="Q107" s="74"/>
      <c r="R107" s="98"/>
      <c r="S107" s="91"/>
      <c r="T107" s="91"/>
      <c r="U107" s="91"/>
      <c r="V107" s="98"/>
      <c r="W107" s="91"/>
      <c r="X107" s="91"/>
      <c r="Y107" s="91"/>
      <c r="Z107" s="91"/>
      <c r="AA107" s="98"/>
      <c r="AB107" s="98"/>
      <c r="AC107" s="98"/>
      <c r="AD107" s="91"/>
      <c r="AE107" s="98"/>
      <c r="AF107" s="98"/>
      <c r="AH107" s="98"/>
      <c r="AI107" s="91"/>
      <c r="AJ107" s="91"/>
      <c r="AK107" s="91"/>
      <c r="AL107" s="53"/>
      <c r="AM107" s="91"/>
      <c r="AN107" s="74"/>
      <c r="AO107" s="74"/>
      <c r="AP107" s="74"/>
      <c r="AQ107" s="74"/>
      <c r="AR107" s="74"/>
      <c r="AS107" s="53"/>
      <c r="AT107" s="91"/>
      <c r="AU107" s="91"/>
      <c r="AV107" s="91"/>
      <c r="AW107" s="91"/>
      <c r="AX107" s="91"/>
      <c r="AY107" s="91"/>
      <c r="AZ107" s="91"/>
      <c r="BA107" s="91"/>
      <c r="BB107" s="91"/>
      <c r="BC107" s="98"/>
      <c r="BD107" s="101"/>
      <c r="BE107" s="101"/>
      <c r="BF107" s="101"/>
      <c r="BG107" s="101"/>
      <c r="BI107" s="101"/>
      <c r="BJ107" s="101"/>
      <c r="BK107" s="101"/>
    </row>
    <row r="108" spans="1:63" s="85" customFormat="1" ht="15" customHeight="1" x14ac:dyDescent="0.45">
      <c r="A108" s="93"/>
      <c r="B108" s="56" t="s">
        <v>240</v>
      </c>
      <c r="C108" s="56">
        <v>1.8</v>
      </c>
      <c r="D108" s="56">
        <v>1.4</v>
      </c>
      <c r="E108" s="56">
        <v>2</v>
      </c>
      <c r="F108" s="53"/>
      <c r="G108" s="53"/>
      <c r="H108" s="91">
        <f>C108*D108</f>
        <v>2.52</v>
      </c>
      <c r="I108" s="91"/>
      <c r="J108" s="91"/>
      <c r="K108" s="72">
        <f t="shared" ref="K108:K109" si="0">(C108+2*D108)*E108*$C$6</f>
        <v>1.196</v>
      </c>
      <c r="L108" s="74"/>
      <c r="M108" s="72">
        <f>(0.06+C108+0.06)*E108</f>
        <v>3.8400000000000003</v>
      </c>
      <c r="N108" s="74"/>
      <c r="O108" s="74"/>
      <c r="P108" s="91"/>
      <c r="Q108" s="74"/>
      <c r="R108" s="98"/>
      <c r="S108" s="91"/>
      <c r="T108" s="91"/>
      <c r="U108" s="91"/>
      <c r="V108" s="98"/>
      <c r="W108" s="91"/>
      <c r="X108" s="91"/>
      <c r="Y108" s="91"/>
      <c r="Z108" s="91"/>
      <c r="AA108" s="98"/>
      <c r="AB108" s="56"/>
      <c r="AC108" s="98"/>
      <c r="AD108" s="91"/>
      <c r="AE108" s="98"/>
      <c r="AF108" s="98"/>
      <c r="AH108" s="98"/>
      <c r="AI108" s="91"/>
      <c r="AJ108" s="91"/>
      <c r="AK108" s="91"/>
      <c r="AL108" s="53"/>
      <c r="AM108" s="91"/>
      <c r="AN108" s="74"/>
      <c r="AO108" s="74"/>
      <c r="AP108" s="74"/>
      <c r="AQ108" s="74"/>
      <c r="AR108" s="74"/>
      <c r="AS108" s="53"/>
      <c r="AT108" s="91"/>
      <c r="AU108" s="91"/>
      <c r="AV108" s="91"/>
      <c r="AW108" s="91"/>
      <c r="AX108" s="91"/>
      <c r="AY108" s="91"/>
      <c r="AZ108" s="91"/>
      <c r="BA108" s="91"/>
      <c r="BB108" s="91"/>
      <c r="BC108" s="98"/>
      <c r="BD108" s="101"/>
      <c r="BE108" s="101"/>
      <c r="BF108" s="101"/>
      <c r="BG108" s="101"/>
      <c r="BI108" s="101"/>
      <c r="BJ108" s="101"/>
      <c r="BK108" s="101"/>
    </row>
    <row r="109" spans="1:63" s="85" customFormat="1" ht="15" customHeight="1" x14ac:dyDescent="0.45">
      <c r="A109" s="93"/>
      <c r="B109" s="56" t="s">
        <v>241</v>
      </c>
      <c r="C109" s="56">
        <v>0.8</v>
      </c>
      <c r="D109" s="56">
        <v>1.3</v>
      </c>
      <c r="E109" s="56">
        <v>1</v>
      </c>
      <c r="F109" s="53"/>
      <c r="G109" s="53"/>
      <c r="H109" s="91"/>
      <c r="I109" s="91"/>
      <c r="J109" s="91"/>
      <c r="K109" s="72">
        <f t="shared" si="0"/>
        <v>0.44200000000000006</v>
      </c>
      <c r="L109" s="91">
        <f>E109</f>
        <v>1</v>
      </c>
      <c r="M109" s="72">
        <f>(0.06+C109+0.06)*E109</f>
        <v>0.92000000000000015</v>
      </c>
      <c r="N109" s="74"/>
      <c r="O109" s="74"/>
      <c r="P109" s="91"/>
      <c r="Q109" s="74"/>
      <c r="R109" s="98"/>
      <c r="S109" s="91"/>
      <c r="T109" s="91"/>
      <c r="U109" s="91"/>
      <c r="V109" s="98"/>
      <c r="W109" s="91"/>
      <c r="X109" s="91"/>
      <c r="Y109" s="91"/>
      <c r="Z109" s="91"/>
      <c r="AA109" s="98"/>
      <c r="AB109" s="56"/>
      <c r="AC109" s="98"/>
      <c r="AD109" s="91"/>
      <c r="AE109" s="98"/>
      <c r="AF109" s="98"/>
      <c r="AH109" s="98"/>
      <c r="AI109" s="91"/>
      <c r="AJ109" s="91"/>
      <c r="AK109" s="91"/>
      <c r="AL109" s="53"/>
      <c r="AM109" s="91"/>
      <c r="AN109" s="74"/>
      <c r="AO109" s="74"/>
      <c r="AP109" s="74"/>
      <c r="AQ109" s="74"/>
      <c r="AR109" s="74"/>
      <c r="AS109" s="53"/>
      <c r="AT109" s="91"/>
      <c r="AU109" s="91"/>
      <c r="AV109" s="91"/>
      <c r="AW109" s="91"/>
      <c r="AX109" s="91"/>
      <c r="AY109" s="91"/>
      <c r="AZ109" s="91"/>
      <c r="BA109" s="91"/>
      <c r="BB109" s="91"/>
      <c r="BC109" s="98"/>
      <c r="BD109" s="101"/>
      <c r="BE109" s="101"/>
      <c r="BF109" s="101"/>
      <c r="BG109" s="101"/>
      <c r="BI109" s="101"/>
      <c r="BJ109" s="101"/>
      <c r="BK109" s="101"/>
    </row>
    <row r="110" spans="1:63" s="85" customFormat="1" ht="15" customHeight="1" x14ac:dyDescent="0.35">
      <c r="A110" s="93">
        <f>'Popis del_fasada'!A54</f>
        <v>11</v>
      </c>
      <c r="B110" s="69" t="s">
        <v>142</v>
      </c>
      <c r="C110" s="143">
        <f>0.89+7.06+0.4</f>
        <v>8.35</v>
      </c>
      <c r="D110" s="91"/>
      <c r="E110" s="91"/>
      <c r="F110" s="53"/>
      <c r="G110" s="53"/>
      <c r="H110" s="91"/>
      <c r="I110" s="91"/>
      <c r="J110" s="91"/>
      <c r="K110" s="74"/>
      <c r="L110" s="74"/>
      <c r="M110" s="74"/>
      <c r="N110" s="74"/>
      <c r="O110" s="91">
        <f>C110</f>
        <v>8.35</v>
      </c>
      <c r="P110" s="91"/>
      <c r="Q110" s="74"/>
      <c r="R110" s="98"/>
      <c r="S110" s="91"/>
      <c r="T110" s="91"/>
      <c r="U110" s="91"/>
      <c r="V110" s="98"/>
      <c r="W110" s="91"/>
      <c r="X110" s="91"/>
      <c r="Y110" s="91"/>
      <c r="Z110" s="91"/>
      <c r="AA110" s="98"/>
      <c r="AB110" s="98"/>
      <c r="AC110" s="98"/>
      <c r="AD110" s="91"/>
      <c r="AE110" s="98"/>
      <c r="AF110" s="98"/>
      <c r="AH110" s="98"/>
      <c r="AI110" s="91"/>
      <c r="AJ110" s="91"/>
      <c r="AK110" s="91"/>
      <c r="AL110" s="53"/>
      <c r="AM110" s="91"/>
      <c r="AN110" s="74"/>
      <c r="AO110" s="74"/>
      <c r="AP110" s="74"/>
      <c r="AQ110" s="74"/>
      <c r="AR110" s="74"/>
      <c r="AS110" s="53"/>
      <c r="AT110" s="91"/>
      <c r="AU110" s="91"/>
      <c r="AV110" s="91"/>
      <c r="AW110" s="91"/>
      <c r="AX110" s="91"/>
      <c r="AY110" s="91"/>
      <c r="AZ110" s="91"/>
      <c r="BA110" s="91"/>
      <c r="BB110" s="91"/>
      <c r="BC110" s="98"/>
      <c r="BD110" s="101"/>
      <c r="BE110" s="101"/>
      <c r="BF110" s="101"/>
      <c r="BG110" s="101"/>
      <c r="BI110" s="101"/>
      <c r="BJ110" s="101"/>
      <c r="BK110" s="101"/>
    </row>
    <row r="111" spans="1:63" s="85" customFormat="1" ht="15" customHeight="1" x14ac:dyDescent="0.35">
      <c r="A111" s="93">
        <f>'Popis del_fasada'!A62</f>
        <v>15</v>
      </c>
      <c r="B111" s="69" t="s">
        <v>165</v>
      </c>
      <c r="C111" s="91">
        <f>11.03+1.53</f>
        <v>12.559999999999999</v>
      </c>
      <c r="D111" s="91">
        <v>0.8</v>
      </c>
      <c r="E111" s="91"/>
      <c r="F111" s="53"/>
      <c r="G111" s="53"/>
      <c r="H111" s="91"/>
      <c r="I111" s="91"/>
      <c r="J111" s="91"/>
      <c r="K111" s="74"/>
      <c r="L111" s="74"/>
      <c r="M111" s="74"/>
      <c r="N111" s="74"/>
      <c r="O111" s="74"/>
      <c r="P111" s="91">
        <f>C111*D111</f>
        <v>10.048</v>
      </c>
      <c r="Q111" s="74"/>
      <c r="R111" s="98"/>
      <c r="S111" s="91"/>
      <c r="T111" s="91"/>
      <c r="U111" s="91"/>
      <c r="V111" s="98"/>
      <c r="W111" s="91"/>
      <c r="X111" s="91"/>
      <c r="Y111" s="91"/>
      <c r="Z111" s="91"/>
      <c r="AA111" s="98"/>
      <c r="AB111" s="98"/>
      <c r="AC111" s="98"/>
      <c r="AD111" s="91"/>
      <c r="AE111" s="98"/>
      <c r="AF111" s="98"/>
      <c r="AH111" s="98"/>
      <c r="AI111" s="91"/>
      <c r="AJ111" s="91"/>
      <c r="AK111" s="91"/>
      <c r="AL111" s="53"/>
      <c r="AM111" s="91"/>
      <c r="AN111" s="74"/>
      <c r="AO111" s="74"/>
      <c r="AP111" s="74"/>
      <c r="AQ111" s="74"/>
      <c r="AR111" s="74"/>
      <c r="AS111" s="53"/>
      <c r="AT111" s="91"/>
      <c r="AU111" s="91"/>
      <c r="AV111" s="91"/>
      <c r="AW111" s="91"/>
      <c r="AX111" s="91"/>
      <c r="AY111" s="91"/>
      <c r="AZ111" s="91"/>
      <c r="BA111" s="91"/>
      <c r="BB111" s="91"/>
      <c r="BC111" s="98"/>
      <c r="BD111" s="101"/>
      <c r="BE111" s="101"/>
      <c r="BF111" s="101"/>
      <c r="BG111" s="101"/>
      <c r="BI111" s="101"/>
      <c r="BJ111" s="101"/>
      <c r="BK111" s="101"/>
    </row>
    <row r="112" spans="1:63" s="85" customFormat="1" ht="15" customHeight="1" x14ac:dyDescent="0.35">
      <c r="A112" s="93"/>
      <c r="B112" s="69" t="s">
        <v>169</v>
      </c>
      <c r="C112" s="91">
        <f>2+1.6</f>
        <v>3.6</v>
      </c>
      <c r="D112" s="91">
        <v>0.8</v>
      </c>
      <c r="E112" s="91"/>
      <c r="F112" s="53"/>
      <c r="G112" s="53"/>
      <c r="H112" s="91"/>
      <c r="I112" s="91"/>
      <c r="J112" s="91"/>
      <c r="K112" s="74"/>
      <c r="L112" s="74"/>
      <c r="M112" s="74"/>
      <c r="N112" s="74"/>
      <c r="O112" s="74"/>
      <c r="P112" s="91">
        <f>C112*D112</f>
        <v>2.8800000000000003</v>
      </c>
      <c r="Q112" s="74"/>
      <c r="R112" s="98"/>
      <c r="S112" s="91"/>
      <c r="T112" s="91"/>
      <c r="U112" s="91"/>
      <c r="V112" s="98"/>
      <c r="W112" s="91"/>
      <c r="X112" s="91"/>
      <c r="Y112" s="91"/>
      <c r="Z112" s="91"/>
      <c r="AA112" s="98"/>
      <c r="AB112" s="98"/>
      <c r="AC112" s="98"/>
      <c r="AD112" s="91"/>
      <c r="AE112" s="98"/>
      <c r="AF112" s="98"/>
      <c r="AH112" s="98"/>
      <c r="AI112" s="91"/>
      <c r="AJ112" s="91"/>
      <c r="AK112" s="91"/>
      <c r="AL112" s="53"/>
      <c r="AM112" s="91"/>
      <c r="AN112" s="74"/>
      <c r="AO112" s="74"/>
      <c r="AP112" s="74"/>
      <c r="AQ112" s="74"/>
      <c r="AR112" s="74"/>
      <c r="AS112" s="53"/>
      <c r="AT112" s="91"/>
      <c r="AU112" s="91"/>
      <c r="AV112" s="91"/>
      <c r="AW112" s="91"/>
      <c r="AX112" s="91"/>
      <c r="AY112" s="91"/>
      <c r="AZ112" s="91"/>
      <c r="BA112" s="91"/>
      <c r="BB112" s="91"/>
      <c r="BC112" s="98"/>
      <c r="BD112" s="101"/>
      <c r="BE112" s="101"/>
      <c r="BF112" s="101"/>
      <c r="BG112" s="101"/>
      <c r="BI112" s="101"/>
      <c r="BJ112" s="101"/>
      <c r="BK112" s="101"/>
    </row>
    <row r="113" spans="1:63" s="85" customFormat="1" ht="15" customHeight="1" x14ac:dyDescent="0.35">
      <c r="A113" s="93"/>
      <c r="B113" s="69" t="str">
        <f>'Popis del_fasada'!B70</f>
        <v>ZEMELJSKA DELA</v>
      </c>
      <c r="C113" s="91"/>
      <c r="D113" s="91"/>
      <c r="E113" s="91"/>
      <c r="F113" s="53"/>
      <c r="G113" s="53"/>
      <c r="H113" s="91"/>
      <c r="I113" s="91"/>
      <c r="J113" s="91"/>
      <c r="K113" s="74"/>
      <c r="L113" s="74"/>
      <c r="M113" s="74"/>
      <c r="N113" s="74"/>
      <c r="O113" s="74"/>
      <c r="P113" s="91"/>
      <c r="Q113" s="74"/>
      <c r="R113" s="98"/>
      <c r="S113" s="91"/>
      <c r="T113" s="91"/>
      <c r="U113" s="91"/>
      <c r="V113" s="98"/>
      <c r="W113" s="91"/>
      <c r="X113" s="91"/>
      <c r="Y113" s="91"/>
      <c r="Z113" s="91"/>
      <c r="AA113" s="98"/>
      <c r="AB113" s="98"/>
      <c r="AC113" s="98"/>
      <c r="AD113" s="91"/>
      <c r="AE113" s="98"/>
      <c r="AF113" s="98"/>
      <c r="AH113" s="98"/>
      <c r="AI113" s="91"/>
      <c r="AJ113" s="91"/>
      <c r="AK113" s="91"/>
      <c r="AL113" s="53"/>
      <c r="AM113" s="91"/>
      <c r="AN113" s="74"/>
      <c r="AO113" s="74"/>
      <c r="AP113" s="74"/>
      <c r="AQ113" s="74"/>
      <c r="AR113" s="74"/>
      <c r="AS113" s="53"/>
      <c r="AT113" s="91"/>
      <c r="AU113" s="91"/>
      <c r="AV113" s="91"/>
      <c r="AW113" s="91"/>
      <c r="AX113" s="91"/>
      <c r="AY113" s="91"/>
      <c r="AZ113" s="91"/>
      <c r="BA113" s="91"/>
      <c r="BB113" s="91"/>
      <c r="BC113" s="98"/>
      <c r="BD113" s="101"/>
      <c r="BE113" s="101"/>
      <c r="BF113" s="101"/>
      <c r="BG113" s="101"/>
      <c r="BI113" s="101"/>
      <c r="BJ113" s="101"/>
      <c r="BK113" s="101"/>
    </row>
    <row r="114" spans="1:63" s="85" customFormat="1" ht="15" customHeight="1" x14ac:dyDescent="0.35">
      <c r="A114" s="93" t="str">
        <f>'Popis del_fasada'!A76</f>
        <v>3</v>
      </c>
      <c r="B114" s="69" t="s">
        <v>76</v>
      </c>
      <c r="C114" s="56">
        <f>11.03+1.53+0.8</f>
        <v>13.36</v>
      </c>
      <c r="D114" s="90">
        <v>0.9</v>
      </c>
      <c r="E114" s="56">
        <v>0.5</v>
      </c>
      <c r="F114" s="53"/>
      <c r="G114" s="53"/>
      <c r="H114" s="91"/>
      <c r="I114" s="91"/>
      <c r="J114" s="91"/>
      <c r="K114" s="74"/>
      <c r="L114" s="74"/>
      <c r="M114" s="74"/>
      <c r="N114" s="74"/>
      <c r="O114" s="74"/>
      <c r="P114" s="91"/>
      <c r="Q114" s="74"/>
      <c r="R114" s="98"/>
      <c r="S114" s="91">
        <f>C114*D114*E114</f>
        <v>6.0119999999999996</v>
      </c>
      <c r="T114" s="91"/>
      <c r="U114" s="91"/>
      <c r="V114" s="98"/>
      <c r="W114" s="91"/>
      <c r="X114" s="91"/>
      <c r="Y114" s="91"/>
      <c r="Z114" s="91"/>
      <c r="AA114" s="98"/>
      <c r="AB114" s="98"/>
      <c r="AC114" s="98"/>
      <c r="AD114" s="91"/>
      <c r="AE114" s="98"/>
      <c r="AF114" s="98"/>
      <c r="AH114" s="98"/>
      <c r="AI114" s="91"/>
      <c r="AJ114" s="91"/>
      <c r="AK114" s="91"/>
      <c r="AL114" s="53"/>
      <c r="AM114" s="91"/>
      <c r="AN114" s="74"/>
      <c r="AO114" s="74"/>
      <c r="AP114" s="74"/>
      <c r="AQ114" s="74"/>
      <c r="AR114" s="74"/>
      <c r="AS114" s="53"/>
      <c r="AT114" s="91"/>
      <c r="AU114" s="91"/>
      <c r="AV114" s="91"/>
      <c r="AW114" s="91"/>
      <c r="AX114" s="91"/>
      <c r="AY114" s="91"/>
      <c r="AZ114" s="91"/>
      <c r="BA114" s="91"/>
      <c r="BB114" s="91"/>
      <c r="BC114" s="98"/>
      <c r="BD114" s="101"/>
      <c r="BE114" s="101"/>
      <c r="BF114" s="101"/>
      <c r="BG114" s="101"/>
      <c r="BI114" s="101"/>
      <c r="BJ114" s="101"/>
      <c r="BK114" s="101"/>
    </row>
    <row r="115" spans="1:63" s="85" customFormat="1" ht="15" customHeight="1" x14ac:dyDescent="0.35">
      <c r="A115" s="93" t="str">
        <f>'Popis del_fasada'!A80</f>
        <v>5</v>
      </c>
      <c r="B115" s="69" t="s">
        <v>151</v>
      </c>
      <c r="C115" s="56">
        <f>11.03+1.53+0.8</f>
        <v>13.36</v>
      </c>
      <c r="D115" s="90">
        <v>0.9</v>
      </c>
      <c r="E115" s="56">
        <v>0.4</v>
      </c>
      <c r="F115" s="53"/>
      <c r="G115" s="53"/>
      <c r="H115" s="91"/>
      <c r="I115" s="91"/>
      <c r="J115" s="91"/>
      <c r="K115" s="74"/>
      <c r="L115" s="74"/>
      <c r="M115" s="74"/>
      <c r="N115" s="74"/>
      <c r="O115" s="74"/>
      <c r="P115" s="91"/>
      <c r="Q115" s="74"/>
      <c r="R115" s="98"/>
      <c r="S115" s="91"/>
      <c r="T115" s="91"/>
      <c r="U115" s="91">
        <f>C115*D115*E115</f>
        <v>4.8095999999999997</v>
      </c>
      <c r="V115" s="98"/>
      <c r="W115" s="91"/>
      <c r="X115" s="91"/>
      <c r="Y115" s="91"/>
      <c r="Z115" s="91"/>
      <c r="AA115" s="98"/>
      <c r="AB115" s="98"/>
      <c r="AC115" s="98"/>
      <c r="AD115" s="91"/>
      <c r="AE115" s="98"/>
      <c r="AF115" s="98"/>
      <c r="AH115" s="98"/>
      <c r="AI115" s="91"/>
      <c r="AJ115" s="91"/>
      <c r="AK115" s="91"/>
      <c r="AL115" s="53"/>
      <c r="AM115" s="91"/>
      <c r="AN115" s="74"/>
      <c r="AO115" s="74"/>
      <c r="AP115" s="74"/>
      <c r="AQ115" s="74"/>
      <c r="AR115" s="74"/>
      <c r="AS115" s="53"/>
      <c r="AT115" s="91"/>
      <c r="AU115" s="91"/>
      <c r="AV115" s="91"/>
      <c r="AW115" s="91"/>
      <c r="AX115" s="91"/>
      <c r="AY115" s="91"/>
      <c r="AZ115" s="91"/>
      <c r="BA115" s="91"/>
      <c r="BB115" s="91"/>
      <c r="BC115" s="98"/>
      <c r="BD115" s="101"/>
      <c r="BE115" s="101"/>
      <c r="BF115" s="101"/>
      <c r="BG115" s="101"/>
      <c r="BI115" s="101"/>
      <c r="BJ115" s="101"/>
      <c r="BK115" s="101"/>
    </row>
    <row r="116" spans="1:63" s="85" customFormat="1" ht="15" customHeight="1" x14ac:dyDescent="0.35">
      <c r="A116" s="93"/>
      <c r="B116" s="69" t="s">
        <v>169</v>
      </c>
      <c r="C116" s="91">
        <f>2+1.6</f>
        <v>3.6</v>
      </c>
      <c r="D116" s="91">
        <v>0.8</v>
      </c>
      <c r="E116" s="56">
        <v>0.5</v>
      </c>
      <c r="F116" s="53"/>
      <c r="G116" s="53"/>
      <c r="H116" s="91"/>
      <c r="I116" s="91"/>
      <c r="J116" s="91"/>
      <c r="K116" s="74"/>
      <c r="L116" s="74"/>
      <c r="M116" s="74"/>
      <c r="N116" s="74"/>
      <c r="O116" s="74"/>
      <c r="P116" s="91"/>
      <c r="Q116" s="74"/>
      <c r="R116" s="98"/>
      <c r="S116" s="91">
        <f>C116*D116*E116</f>
        <v>1.4400000000000002</v>
      </c>
      <c r="T116" s="91"/>
      <c r="U116" s="91">
        <f>C116*D116*E116</f>
        <v>1.4400000000000002</v>
      </c>
      <c r="V116" s="98"/>
      <c r="W116" s="91"/>
      <c r="X116" s="91"/>
      <c r="Y116" s="91"/>
      <c r="Z116" s="91"/>
      <c r="AA116" s="98"/>
      <c r="AB116" s="98"/>
      <c r="AC116" s="98"/>
      <c r="AD116" s="91"/>
      <c r="AE116" s="98"/>
      <c r="AF116" s="98"/>
      <c r="AH116" s="98"/>
      <c r="AI116" s="91"/>
      <c r="AJ116" s="91"/>
      <c r="AK116" s="91"/>
      <c r="AL116" s="53"/>
      <c r="AM116" s="91"/>
      <c r="AN116" s="74"/>
      <c r="AO116" s="74"/>
      <c r="AP116" s="74"/>
      <c r="AQ116" s="74"/>
      <c r="AR116" s="74"/>
      <c r="AS116" s="53"/>
      <c r="AT116" s="91"/>
      <c r="AU116" s="91"/>
      <c r="AV116" s="91"/>
      <c r="AW116" s="91"/>
      <c r="AX116" s="91"/>
      <c r="AY116" s="91"/>
      <c r="AZ116" s="91"/>
      <c r="BA116" s="91"/>
      <c r="BB116" s="91"/>
      <c r="BC116" s="98"/>
      <c r="BD116" s="101"/>
      <c r="BE116" s="101"/>
      <c r="BF116" s="101"/>
      <c r="BG116" s="101"/>
      <c r="BI116" s="101"/>
      <c r="BJ116" s="101"/>
      <c r="BK116" s="101"/>
    </row>
    <row r="117" spans="1:63" s="85" customFormat="1" ht="15" customHeight="1" x14ac:dyDescent="0.35">
      <c r="A117" s="93"/>
      <c r="B117" s="69"/>
      <c r="C117" s="91"/>
      <c r="D117" s="91"/>
      <c r="E117" s="91"/>
      <c r="F117" s="53"/>
      <c r="G117" s="53"/>
      <c r="H117" s="91"/>
      <c r="I117" s="91"/>
      <c r="J117" s="91"/>
      <c r="K117" s="74"/>
      <c r="L117" s="74"/>
      <c r="M117" s="74"/>
      <c r="N117" s="74"/>
      <c r="O117" s="74"/>
      <c r="P117" s="91"/>
      <c r="Q117" s="74"/>
      <c r="R117" s="98"/>
      <c r="S117" s="91"/>
      <c r="T117" s="91"/>
      <c r="U117" s="91"/>
      <c r="V117" s="98"/>
      <c r="W117" s="91"/>
      <c r="X117" s="91"/>
      <c r="Y117" s="91"/>
      <c r="Z117" s="91"/>
      <c r="AA117" s="98"/>
      <c r="AB117" s="98"/>
      <c r="AC117" s="98"/>
      <c r="AD117" s="91"/>
      <c r="AE117" s="98"/>
      <c r="AF117" s="98"/>
      <c r="AH117" s="98"/>
      <c r="AI117" s="91"/>
      <c r="AJ117" s="91"/>
      <c r="AK117" s="91"/>
      <c r="AL117" s="53"/>
      <c r="AM117" s="91"/>
      <c r="AN117" s="74"/>
      <c r="AO117" s="74"/>
      <c r="AP117" s="74"/>
      <c r="AQ117" s="74"/>
      <c r="AR117" s="74"/>
      <c r="AS117" s="53"/>
      <c r="AT117" s="91"/>
      <c r="AU117" s="91"/>
      <c r="AV117" s="91"/>
      <c r="AW117" s="91"/>
      <c r="AX117" s="91"/>
      <c r="AY117" s="91"/>
      <c r="AZ117" s="91"/>
      <c r="BA117" s="91"/>
      <c r="BB117" s="91"/>
      <c r="BC117" s="98"/>
      <c r="BD117" s="101"/>
      <c r="BE117" s="101"/>
      <c r="BF117" s="101"/>
      <c r="BG117" s="101"/>
      <c r="BI117" s="101"/>
      <c r="BJ117" s="101"/>
      <c r="BK117" s="101"/>
    </row>
    <row r="118" spans="1:63" s="85" customFormat="1" ht="15" customHeight="1" x14ac:dyDescent="0.35">
      <c r="A118" s="93"/>
      <c r="B118" s="69" t="str">
        <f>'Popis del_fasada'!B84</f>
        <v>ZIDARSKA DELA</v>
      </c>
      <c r="C118" s="91"/>
      <c r="D118" s="91"/>
      <c r="E118" s="91"/>
      <c r="F118" s="53"/>
      <c r="G118" s="53"/>
      <c r="H118" s="91"/>
      <c r="I118" s="91"/>
      <c r="J118" s="91"/>
      <c r="K118" s="74"/>
      <c r="L118" s="74"/>
      <c r="M118" s="74"/>
      <c r="N118" s="74"/>
      <c r="O118" s="74"/>
      <c r="P118" s="91"/>
      <c r="Q118" s="74"/>
      <c r="R118" s="98"/>
      <c r="S118" s="91"/>
      <c r="T118" s="91"/>
      <c r="U118" s="91"/>
      <c r="V118" s="98"/>
      <c r="W118" s="91"/>
      <c r="X118" s="91"/>
      <c r="Y118" s="91"/>
      <c r="Z118" s="91"/>
      <c r="AA118" s="98"/>
      <c r="AB118" s="98"/>
      <c r="AC118" s="98"/>
      <c r="AD118" s="91"/>
      <c r="AE118" s="98"/>
      <c r="AF118" s="98"/>
      <c r="AH118" s="98"/>
      <c r="AI118" s="91"/>
      <c r="AJ118" s="91"/>
      <c r="AK118" s="91"/>
      <c r="AL118" s="53"/>
      <c r="AM118" s="91"/>
      <c r="AN118" s="74"/>
      <c r="AO118" s="74"/>
      <c r="AP118" s="74"/>
      <c r="AQ118" s="74"/>
      <c r="AR118" s="74"/>
      <c r="AS118" s="53"/>
      <c r="AT118" s="91"/>
      <c r="AU118" s="91"/>
      <c r="AV118" s="91"/>
      <c r="AW118" s="91"/>
      <c r="AX118" s="91"/>
      <c r="AY118" s="91"/>
      <c r="AZ118" s="91"/>
      <c r="BA118" s="91"/>
      <c r="BB118" s="91"/>
      <c r="BC118" s="98"/>
      <c r="BD118" s="101"/>
      <c r="BE118" s="101"/>
      <c r="BF118" s="101"/>
      <c r="BG118" s="101"/>
      <c r="BI118" s="101"/>
      <c r="BJ118" s="101"/>
      <c r="BK118" s="101"/>
    </row>
    <row r="119" spans="1:63" s="85" customFormat="1" ht="15" customHeight="1" x14ac:dyDescent="0.35">
      <c r="A119" s="93" t="str">
        <f>'Popis del_fasada'!A86</f>
        <v>1</v>
      </c>
      <c r="B119" s="70" t="s">
        <v>109</v>
      </c>
      <c r="C119" s="91">
        <f>11.03+0.79</f>
        <v>11.82</v>
      </c>
      <c r="D119" s="91">
        <f>(0.87+1.08)/2+0.3</f>
        <v>1.2750000000000001</v>
      </c>
      <c r="E119" s="91"/>
      <c r="F119" s="53"/>
      <c r="G119" s="53"/>
      <c r="H119" s="91"/>
      <c r="I119" s="91"/>
      <c r="J119" s="91"/>
      <c r="K119" s="74"/>
      <c r="L119" s="74"/>
      <c r="M119" s="74"/>
      <c r="N119" s="74"/>
      <c r="O119" s="74"/>
      <c r="P119" s="91"/>
      <c r="Q119" s="74"/>
      <c r="R119" s="98"/>
      <c r="S119" s="91"/>
      <c r="T119" s="91"/>
      <c r="U119" s="91"/>
      <c r="V119" s="98"/>
      <c r="W119" s="91">
        <f>C119*D119</f>
        <v>15.070500000000003</v>
      </c>
      <c r="X119" s="91"/>
      <c r="Y119" s="91"/>
      <c r="Z119" s="91"/>
      <c r="AA119" s="98"/>
      <c r="AB119" s="98"/>
      <c r="AC119" s="98"/>
      <c r="AD119" s="91"/>
      <c r="AE119" s="98"/>
      <c r="AF119" s="98"/>
      <c r="AH119" s="98"/>
      <c r="AI119" s="91"/>
      <c r="AJ119" s="91"/>
      <c r="AK119" s="91"/>
      <c r="AL119" s="53"/>
      <c r="AM119" s="91"/>
      <c r="AN119" s="74"/>
      <c r="AO119" s="74"/>
      <c r="AP119" s="74"/>
      <c r="AQ119" s="74"/>
      <c r="AR119" s="74"/>
      <c r="AS119" s="53"/>
      <c r="AT119" s="91"/>
      <c r="AU119" s="91"/>
      <c r="AV119" s="91"/>
      <c r="AW119" s="91"/>
      <c r="AX119" s="91"/>
      <c r="AY119" s="91"/>
      <c r="AZ119" s="91"/>
      <c r="BA119" s="91"/>
      <c r="BB119" s="91"/>
      <c r="BC119" s="98"/>
      <c r="BD119" s="101"/>
      <c r="BE119" s="101"/>
      <c r="BF119" s="101"/>
      <c r="BG119" s="101"/>
      <c r="BI119" s="101"/>
      <c r="BJ119" s="101"/>
      <c r="BK119" s="101"/>
    </row>
    <row r="120" spans="1:63" s="85" customFormat="1" ht="15" customHeight="1" x14ac:dyDescent="0.35">
      <c r="A120" s="93">
        <f>'Popis del_fasada'!A90</f>
        <v>3</v>
      </c>
      <c r="B120" s="70" t="s">
        <v>57</v>
      </c>
      <c r="C120" s="56">
        <v>11.03</v>
      </c>
      <c r="D120" s="56">
        <v>6.88</v>
      </c>
      <c r="E120" s="91"/>
      <c r="F120" s="53"/>
      <c r="G120" s="53"/>
      <c r="H120" s="91"/>
      <c r="I120" s="91"/>
      <c r="J120" s="91"/>
      <c r="K120" s="74"/>
      <c r="L120" s="74"/>
      <c r="M120" s="74"/>
      <c r="N120" s="74"/>
      <c r="O120" s="74"/>
      <c r="P120" s="91"/>
      <c r="Q120" s="74"/>
      <c r="R120" s="98"/>
      <c r="S120" s="91"/>
      <c r="T120" s="91"/>
      <c r="U120" s="91"/>
      <c r="V120" s="98"/>
      <c r="W120" s="91"/>
      <c r="X120" s="91">
        <f>C120*D120</f>
        <v>75.886399999999995</v>
      </c>
      <c r="Y120" s="91"/>
      <c r="Z120" s="91"/>
      <c r="AA120" s="98"/>
      <c r="AB120" s="98"/>
      <c r="AC120" s="98"/>
      <c r="AD120" s="91"/>
      <c r="AE120" s="98"/>
      <c r="AF120" s="98"/>
      <c r="AH120" s="98"/>
      <c r="AI120" s="91"/>
      <c r="AJ120" s="91"/>
      <c r="AK120" s="91"/>
      <c r="AL120" s="53"/>
      <c r="AM120" s="91"/>
      <c r="AN120" s="74"/>
      <c r="AO120" s="74"/>
      <c r="AP120" s="74"/>
      <c r="AQ120" s="74"/>
      <c r="AR120" s="74"/>
      <c r="AS120" s="53"/>
      <c r="AT120" s="91"/>
      <c r="AU120" s="91"/>
      <c r="AV120" s="91"/>
      <c r="AW120" s="91"/>
      <c r="AX120" s="91"/>
      <c r="AY120" s="91"/>
      <c r="AZ120" s="91"/>
      <c r="BA120" s="91"/>
      <c r="BB120" s="91"/>
      <c r="BC120" s="98"/>
      <c r="BD120" s="101"/>
      <c r="BE120" s="101"/>
      <c r="BF120" s="101"/>
      <c r="BG120" s="101"/>
      <c r="BI120" s="101"/>
      <c r="BJ120" s="101"/>
      <c r="BK120" s="101"/>
    </row>
    <row r="121" spans="1:63" s="85" customFormat="1" ht="15" customHeight="1" x14ac:dyDescent="0.35">
      <c r="A121" s="93"/>
      <c r="B121" s="69" t="s">
        <v>169</v>
      </c>
      <c r="C121" s="91">
        <v>1.53</v>
      </c>
      <c r="D121" s="91">
        <v>3.58</v>
      </c>
      <c r="E121" s="91"/>
      <c r="F121" s="53"/>
      <c r="G121" s="53"/>
      <c r="H121" s="91"/>
      <c r="I121" s="91"/>
      <c r="J121" s="91"/>
      <c r="K121" s="74"/>
      <c r="L121" s="74"/>
      <c r="M121" s="74"/>
      <c r="N121" s="74"/>
      <c r="O121" s="74"/>
      <c r="P121" s="91"/>
      <c r="Q121" s="74"/>
      <c r="R121" s="98"/>
      <c r="S121" s="91"/>
      <c r="T121" s="91"/>
      <c r="U121" s="91"/>
      <c r="V121" s="98"/>
      <c r="W121" s="91"/>
      <c r="X121" s="91">
        <f>C121*D121</f>
        <v>5.4774000000000003</v>
      </c>
      <c r="Y121" s="91"/>
      <c r="Z121" s="91"/>
      <c r="AA121" s="98"/>
      <c r="AB121" s="98"/>
      <c r="AC121" s="98"/>
      <c r="AD121" s="91"/>
      <c r="AE121" s="98"/>
      <c r="AF121" s="98"/>
      <c r="AH121" s="98"/>
      <c r="AI121" s="91"/>
      <c r="AJ121" s="91"/>
      <c r="AK121" s="91"/>
      <c r="AL121" s="53"/>
      <c r="AM121" s="91"/>
      <c r="AN121" s="74"/>
      <c r="AO121" s="74"/>
      <c r="AP121" s="74"/>
      <c r="AQ121" s="74"/>
      <c r="AR121" s="74"/>
      <c r="AS121" s="53"/>
      <c r="AT121" s="91"/>
      <c r="AU121" s="91"/>
      <c r="AV121" s="91"/>
      <c r="AW121" s="91"/>
      <c r="AX121" s="91"/>
      <c r="AY121" s="91"/>
      <c r="AZ121" s="91"/>
      <c r="BA121" s="91"/>
      <c r="BB121" s="91"/>
      <c r="BC121" s="98"/>
      <c r="BD121" s="101"/>
      <c r="BE121" s="101"/>
      <c r="BF121" s="101"/>
      <c r="BG121" s="101"/>
      <c r="BI121" s="101"/>
      <c r="BJ121" s="101"/>
      <c r="BK121" s="101"/>
    </row>
    <row r="122" spans="1:63" s="85" customFormat="1" ht="15" customHeight="1" x14ac:dyDescent="0.35">
      <c r="A122" s="93">
        <f>'Popis del_fasada'!A92</f>
        <v>4</v>
      </c>
      <c r="B122" s="69" t="s">
        <v>126</v>
      </c>
      <c r="C122" s="56">
        <f>11.03+1.53+0.8</f>
        <v>13.36</v>
      </c>
      <c r="D122" s="56">
        <v>0.6</v>
      </c>
      <c r="E122" s="91"/>
      <c r="F122" s="53"/>
      <c r="G122" s="53"/>
      <c r="H122" s="91"/>
      <c r="I122" s="91"/>
      <c r="J122" s="91"/>
      <c r="K122" s="74"/>
      <c r="L122" s="74"/>
      <c r="M122" s="74"/>
      <c r="N122" s="74"/>
      <c r="O122" s="74"/>
      <c r="P122" s="91"/>
      <c r="Q122" s="74"/>
      <c r="R122" s="98"/>
      <c r="S122" s="91"/>
      <c r="T122" s="91"/>
      <c r="U122" s="91"/>
      <c r="V122" s="98"/>
      <c r="W122" s="91"/>
      <c r="X122" s="91"/>
      <c r="Y122" s="91">
        <f>C122*D122</f>
        <v>8.016</v>
      </c>
      <c r="Z122" s="91"/>
      <c r="AA122" s="98"/>
      <c r="AB122" s="98"/>
      <c r="AC122" s="98"/>
      <c r="AD122" s="91"/>
      <c r="AE122" s="98"/>
      <c r="AF122" s="98"/>
      <c r="AH122" s="98"/>
      <c r="AI122" s="91"/>
      <c r="AJ122" s="91"/>
      <c r="AK122" s="91"/>
      <c r="AL122" s="53"/>
      <c r="AM122" s="91"/>
      <c r="AN122" s="74"/>
      <c r="AO122" s="74"/>
      <c r="AP122" s="74"/>
      <c r="AQ122" s="74"/>
      <c r="AR122" s="74"/>
      <c r="AS122" s="53"/>
      <c r="AT122" s="91"/>
      <c r="AU122" s="91"/>
      <c r="AV122" s="91"/>
      <c r="AW122" s="91"/>
      <c r="AX122" s="91"/>
      <c r="AY122" s="91"/>
      <c r="AZ122" s="91"/>
      <c r="BA122" s="91"/>
      <c r="BB122" s="91"/>
      <c r="BC122" s="98"/>
      <c r="BD122" s="101"/>
      <c r="BE122" s="101"/>
      <c r="BF122" s="101"/>
      <c r="BG122" s="101"/>
      <c r="BI122" s="101"/>
      <c r="BJ122" s="101"/>
      <c r="BK122" s="101"/>
    </row>
    <row r="123" spans="1:63" s="85" customFormat="1" ht="15" customHeight="1" x14ac:dyDescent="0.35">
      <c r="A123" s="93">
        <f>'Popis del_fasada'!A96</f>
        <v>6</v>
      </c>
      <c r="B123" s="69" t="s">
        <v>131</v>
      </c>
      <c r="C123" s="91"/>
      <c r="D123" s="91"/>
      <c r="E123" s="91"/>
      <c r="F123" s="53"/>
      <c r="G123" s="53"/>
      <c r="H123" s="91"/>
      <c r="I123" s="91"/>
      <c r="J123" s="91"/>
      <c r="K123" s="74"/>
      <c r="L123" s="74"/>
      <c r="M123" s="74"/>
      <c r="N123" s="74"/>
      <c r="O123" s="74"/>
      <c r="P123" s="91"/>
      <c r="Q123" s="74"/>
      <c r="R123" s="98"/>
      <c r="S123" s="91"/>
      <c r="T123" s="91"/>
      <c r="U123" s="91"/>
      <c r="V123" s="98"/>
      <c r="W123" s="91"/>
      <c r="X123" s="91"/>
      <c r="Y123" s="91"/>
      <c r="Z123" s="91"/>
      <c r="AA123" s="98"/>
      <c r="AB123" s="98"/>
      <c r="AC123" s="98"/>
      <c r="AD123" s="91"/>
      <c r="AE123" s="98"/>
      <c r="AF123" s="98"/>
      <c r="AH123" s="98"/>
      <c r="AI123" s="91"/>
      <c r="AJ123" s="91"/>
      <c r="AK123" s="91"/>
      <c r="AL123" s="53"/>
      <c r="AM123" s="91"/>
      <c r="AN123" s="74"/>
      <c r="AO123" s="74"/>
      <c r="AP123" s="74"/>
      <c r="AQ123" s="74"/>
      <c r="AR123" s="74"/>
      <c r="AS123" s="53"/>
      <c r="AT123" s="91"/>
      <c r="AU123" s="91"/>
      <c r="AV123" s="91"/>
      <c r="AW123" s="91"/>
      <c r="AX123" s="91"/>
      <c r="AY123" s="91"/>
      <c r="AZ123" s="91"/>
      <c r="BA123" s="91"/>
      <c r="BB123" s="91"/>
      <c r="BC123" s="98"/>
      <c r="BD123" s="101"/>
      <c r="BE123" s="101"/>
      <c r="BF123" s="101"/>
      <c r="BG123" s="101"/>
      <c r="BI123" s="101"/>
      <c r="BJ123" s="101"/>
      <c r="BK123" s="101"/>
    </row>
    <row r="124" spans="1:63" s="85" customFormat="1" ht="15" customHeight="1" x14ac:dyDescent="0.45">
      <c r="A124" s="93"/>
      <c r="B124" s="56" t="s">
        <v>240</v>
      </c>
      <c r="C124" s="56">
        <v>1.79</v>
      </c>
      <c r="D124" s="56">
        <v>1.4</v>
      </c>
      <c r="E124" s="56">
        <v>2</v>
      </c>
      <c r="F124" s="53"/>
      <c r="G124" s="53"/>
      <c r="H124" s="91"/>
      <c r="I124" s="91"/>
      <c r="J124" s="91"/>
      <c r="K124" s="72">
        <f t="shared" ref="K124:K127" si="1">(C124+2*D124)*E124*$C$6</f>
        <v>1.1934</v>
      </c>
      <c r="L124" s="74"/>
      <c r="M124" s="74"/>
      <c r="N124" s="74"/>
      <c r="O124" s="74"/>
      <c r="P124" s="91"/>
      <c r="Q124" s="74"/>
      <c r="R124" s="98"/>
      <c r="S124" s="91"/>
      <c r="T124" s="91"/>
      <c r="U124" s="91"/>
      <c r="V124" s="98"/>
      <c r="W124" s="91"/>
      <c r="X124" s="91"/>
      <c r="Y124" s="91"/>
      <c r="Z124" s="91"/>
      <c r="AA124" s="98"/>
      <c r="AB124" s="56">
        <f>(0.05+C124+0.05)*E124</f>
        <v>3.7800000000000002</v>
      </c>
      <c r="AC124" s="98"/>
      <c r="AD124" s="91"/>
      <c r="AE124" s="98"/>
      <c r="AF124" s="98"/>
      <c r="AH124" s="98"/>
      <c r="AI124" s="91"/>
      <c r="AJ124" s="91"/>
      <c r="AK124" s="91"/>
      <c r="AL124" s="53"/>
      <c r="AM124" s="91"/>
      <c r="AN124" s="74"/>
      <c r="AO124" s="74"/>
      <c r="AP124" s="74"/>
      <c r="AQ124" s="74"/>
      <c r="AR124" s="74"/>
      <c r="AS124" s="53"/>
      <c r="AT124" s="91"/>
      <c r="AU124" s="91"/>
      <c r="AV124" s="91"/>
      <c r="AW124" s="91"/>
      <c r="AX124" s="91"/>
      <c r="AY124" s="91"/>
      <c r="AZ124" s="91"/>
      <c r="BA124" s="91"/>
      <c r="BB124" s="91"/>
      <c r="BC124" s="98"/>
      <c r="BD124" s="101"/>
      <c r="BE124" s="101"/>
      <c r="BF124" s="101"/>
      <c r="BG124" s="101"/>
      <c r="BI124" s="101"/>
      <c r="BJ124" s="101"/>
      <c r="BK124" s="101"/>
    </row>
    <row r="125" spans="1:63" s="85" customFormat="1" ht="15" customHeight="1" x14ac:dyDescent="0.45">
      <c r="A125" s="93"/>
      <c r="B125" s="56" t="s">
        <v>241</v>
      </c>
      <c r="C125" s="56">
        <v>0.79</v>
      </c>
      <c r="D125" s="56">
        <v>1.3</v>
      </c>
      <c r="E125" s="56">
        <v>1</v>
      </c>
      <c r="F125" s="53"/>
      <c r="G125" s="53"/>
      <c r="H125" s="91"/>
      <c r="I125" s="91"/>
      <c r="J125" s="91"/>
      <c r="K125" s="72">
        <f t="shared" si="1"/>
        <v>0.44070000000000004</v>
      </c>
      <c r="L125" s="74"/>
      <c r="M125" s="74"/>
      <c r="N125" s="74"/>
      <c r="O125" s="74"/>
      <c r="P125" s="91"/>
      <c r="Q125" s="74"/>
      <c r="R125" s="98"/>
      <c r="S125" s="91"/>
      <c r="T125" s="91"/>
      <c r="U125" s="91"/>
      <c r="V125" s="98"/>
      <c r="W125" s="91"/>
      <c r="X125" s="91"/>
      <c r="Y125" s="91"/>
      <c r="Z125" s="91"/>
      <c r="AA125" s="98"/>
      <c r="AB125" s="56">
        <f>(0.05+C125+0.05)*E125</f>
        <v>0.89000000000000012</v>
      </c>
      <c r="AC125" s="98"/>
      <c r="AD125" s="91"/>
      <c r="AE125" s="98"/>
      <c r="AF125" s="98"/>
      <c r="AH125" s="98"/>
      <c r="AI125" s="91"/>
      <c r="AJ125" s="91"/>
      <c r="AK125" s="91"/>
      <c r="AL125" s="53"/>
      <c r="AM125" s="91"/>
      <c r="AN125" s="74"/>
      <c r="AO125" s="74"/>
      <c r="AP125" s="74"/>
      <c r="AQ125" s="74"/>
      <c r="AR125" s="74"/>
      <c r="AS125" s="53"/>
      <c r="AT125" s="91"/>
      <c r="AU125" s="91"/>
      <c r="AV125" s="91"/>
      <c r="AW125" s="91"/>
      <c r="AX125" s="91"/>
      <c r="AY125" s="91"/>
      <c r="AZ125" s="91"/>
      <c r="BA125" s="91"/>
      <c r="BB125" s="91"/>
      <c r="BC125" s="98"/>
      <c r="BD125" s="101"/>
      <c r="BE125" s="101"/>
      <c r="BF125" s="101"/>
      <c r="BG125" s="101"/>
      <c r="BI125" s="101"/>
      <c r="BJ125" s="101"/>
      <c r="BK125" s="101"/>
    </row>
    <row r="126" spans="1:63" s="85" customFormat="1" ht="15" customHeight="1" x14ac:dyDescent="0.45">
      <c r="A126" s="93"/>
      <c r="B126" s="56" t="s">
        <v>242</v>
      </c>
      <c r="C126" s="56">
        <v>0.79</v>
      </c>
      <c r="D126" s="56">
        <v>1.39</v>
      </c>
      <c r="E126" s="56">
        <v>1</v>
      </c>
      <c r="F126" s="53"/>
      <c r="G126" s="53"/>
      <c r="H126" s="91"/>
      <c r="I126" s="91"/>
      <c r="J126" s="91"/>
      <c r="K126" s="72">
        <f t="shared" si="1"/>
        <v>0.46410000000000001</v>
      </c>
      <c r="L126" s="74"/>
      <c r="M126" s="74"/>
      <c r="N126" s="74"/>
      <c r="O126" s="74"/>
      <c r="P126" s="91"/>
      <c r="Q126" s="74"/>
      <c r="R126" s="98"/>
      <c r="S126" s="91"/>
      <c r="T126" s="91"/>
      <c r="U126" s="91"/>
      <c r="V126" s="98"/>
      <c r="W126" s="91"/>
      <c r="X126" s="91"/>
      <c r="Y126" s="91"/>
      <c r="Z126" s="91"/>
      <c r="AA126" s="98"/>
      <c r="AB126" s="56">
        <f>(0.05+C126+0.05)*E126</f>
        <v>0.89000000000000012</v>
      </c>
      <c r="AC126" s="98"/>
      <c r="AD126" s="91"/>
      <c r="AE126" s="98"/>
      <c r="AF126" s="98"/>
      <c r="AH126" s="98"/>
      <c r="AI126" s="91"/>
      <c r="AJ126" s="91"/>
      <c r="AK126" s="91"/>
      <c r="AL126" s="53"/>
      <c r="AM126" s="91"/>
      <c r="AN126" s="74"/>
      <c r="AO126" s="74"/>
      <c r="AP126" s="74"/>
      <c r="AQ126" s="74"/>
      <c r="AR126" s="74"/>
      <c r="AS126" s="53"/>
      <c r="AT126" s="91"/>
      <c r="AU126" s="91"/>
      <c r="AV126" s="91"/>
      <c r="AW126" s="91"/>
      <c r="AX126" s="91"/>
      <c r="AY126" s="91"/>
      <c r="AZ126" s="91"/>
      <c r="BA126" s="91"/>
      <c r="BB126" s="91"/>
      <c r="BC126" s="98"/>
      <c r="BD126" s="101"/>
      <c r="BE126" s="101"/>
      <c r="BF126" s="101"/>
      <c r="BG126" s="101"/>
      <c r="BI126" s="101"/>
      <c r="BJ126" s="101"/>
      <c r="BK126" s="101"/>
    </row>
    <row r="127" spans="1:63" s="85" customFormat="1" ht="15" customHeight="1" x14ac:dyDescent="0.45">
      <c r="A127" s="93"/>
      <c r="B127" s="56" t="s">
        <v>243</v>
      </c>
      <c r="C127" s="56">
        <v>0.79</v>
      </c>
      <c r="D127" s="56">
        <v>0.99</v>
      </c>
      <c r="E127" s="56">
        <v>1</v>
      </c>
      <c r="F127" s="53"/>
      <c r="G127" s="53"/>
      <c r="H127" s="91"/>
      <c r="I127" s="91"/>
      <c r="J127" s="91"/>
      <c r="K127" s="72">
        <f t="shared" si="1"/>
        <v>0.36010000000000003</v>
      </c>
      <c r="L127" s="74"/>
      <c r="M127" s="74"/>
      <c r="N127" s="74"/>
      <c r="O127" s="74"/>
      <c r="P127" s="91"/>
      <c r="Q127" s="74"/>
      <c r="R127" s="98"/>
      <c r="S127" s="91"/>
      <c r="T127" s="91"/>
      <c r="U127" s="91"/>
      <c r="V127" s="98"/>
      <c r="W127" s="91"/>
      <c r="X127" s="91"/>
      <c r="Y127" s="91"/>
      <c r="Z127" s="91"/>
      <c r="AA127" s="98"/>
      <c r="AB127" s="56">
        <f>(0.05+C127+0.05)*E127</f>
        <v>0.89000000000000012</v>
      </c>
      <c r="AC127" s="98"/>
      <c r="AD127" s="91"/>
      <c r="AE127" s="98"/>
      <c r="AF127" s="98"/>
      <c r="AH127" s="98"/>
      <c r="AI127" s="91"/>
      <c r="AJ127" s="91"/>
      <c r="AK127" s="91"/>
      <c r="AL127" s="53"/>
      <c r="AM127" s="91"/>
      <c r="AN127" s="74"/>
      <c r="AO127" s="74"/>
      <c r="AP127" s="74"/>
      <c r="AQ127" s="74"/>
      <c r="AR127" s="74"/>
      <c r="AS127" s="53"/>
      <c r="AT127" s="91"/>
      <c r="AU127" s="91"/>
      <c r="AV127" s="91"/>
      <c r="AW127" s="91"/>
      <c r="AX127" s="91"/>
      <c r="AY127" s="91"/>
      <c r="AZ127" s="91"/>
      <c r="BA127" s="91"/>
      <c r="BB127" s="91"/>
      <c r="BC127" s="98"/>
      <c r="BD127" s="101"/>
      <c r="BE127" s="101"/>
      <c r="BF127" s="101"/>
      <c r="BG127" s="101"/>
      <c r="BI127" s="101"/>
      <c r="BJ127" s="101"/>
      <c r="BK127" s="101"/>
    </row>
    <row r="128" spans="1:63" s="85" customFormat="1" ht="15" customHeight="1" x14ac:dyDescent="0.35">
      <c r="A128" s="93"/>
      <c r="B128" s="56"/>
      <c r="C128" s="56"/>
      <c r="D128" s="56"/>
      <c r="E128" s="56"/>
      <c r="F128" s="53"/>
      <c r="G128" s="53"/>
      <c r="H128" s="91"/>
      <c r="I128" s="91"/>
      <c r="J128" s="91"/>
      <c r="K128" s="74"/>
      <c r="L128" s="74"/>
      <c r="M128" s="74"/>
      <c r="N128" s="74"/>
      <c r="O128" s="74"/>
      <c r="P128" s="91"/>
      <c r="Q128" s="74"/>
      <c r="R128" s="98"/>
      <c r="S128" s="91"/>
      <c r="T128" s="91"/>
      <c r="U128" s="91"/>
      <c r="V128" s="98"/>
      <c r="W128" s="91"/>
      <c r="X128" s="91"/>
      <c r="Y128" s="91"/>
      <c r="Z128" s="91"/>
      <c r="AA128" s="98"/>
      <c r="AB128" s="56"/>
      <c r="AC128" s="98"/>
      <c r="AD128" s="91"/>
      <c r="AE128" s="98"/>
      <c r="AF128" s="98"/>
      <c r="AH128" s="98"/>
      <c r="AI128" s="91"/>
      <c r="AJ128" s="91"/>
      <c r="AK128" s="91"/>
      <c r="AL128" s="53"/>
      <c r="AM128" s="91"/>
      <c r="AN128" s="74"/>
      <c r="AO128" s="74"/>
      <c r="AP128" s="74"/>
      <c r="AQ128" s="74"/>
      <c r="AR128" s="74"/>
      <c r="AS128" s="53"/>
      <c r="AT128" s="91"/>
      <c r="AU128" s="91"/>
      <c r="AV128" s="91"/>
      <c r="AW128" s="91"/>
      <c r="AX128" s="91"/>
      <c r="AY128" s="91"/>
      <c r="AZ128" s="91"/>
      <c r="BA128" s="91"/>
      <c r="BB128" s="91"/>
      <c r="BC128" s="98"/>
      <c r="BD128" s="101"/>
      <c r="BE128" s="101"/>
      <c r="BF128" s="101"/>
      <c r="BG128" s="101"/>
      <c r="BI128" s="101"/>
      <c r="BJ128" s="101"/>
      <c r="BK128" s="101"/>
    </row>
    <row r="129" spans="1:63" s="85" customFormat="1" ht="15" customHeight="1" x14ac:dyDescent="0.35">
      <c r="A129" s="93">
        <f>'Popis del_fasada'!A109</f>
        <v>12</v>
      </c>
      <c r="B129" s="69" t="s">
        <v>167</v>
      </c>
      <c r="C129" s="91">
        <f>11.03+1.53</f>
        <v>12.559999999999999</v>
      </c>
      <c r="D129" s="91">
        <v>0.8</v>
      </c>
      <c r="E129" s="91"/>
      <c r="F129" s="53"/>
      <c r="G129" s="53"/>
      <c r="H129" s="91"/>
      <c r="I129" s="91"/>
      <c r="J129" s="91"/>
      <c r="K129" s="74"/>
      <c r="L129" s="74"/>
      <c r="M129" s="74"/>
      <c r="N129" s="74"/>
      <c r="O129" s="74"/>
      <c r="P129" s="91"/>
      <c r="Q129" s="74"/>
      <c r="R129" s="98"/>
      <c r="S129" s="91"/>
      <c r="T129" s="91"/>
      <c r="U129" s="91"/>
      <c r="V129" s="98"/>
      <c r="W129" s="91"/>
      <c r="X129" s="91"/>
      <c r="Y129" s="91"/>
      <c r="Z129" s="91"/>
      <c r="AA129" s="98"/>
      <c r="AB129" s="98"/>
      <c r="AC129" s="98"/>
      <c r="AD129" s="91">
        <f>C129*D129</f>
        <v>10.048</v>
      </c>
      <c r="AE129" s="98"/>
      <c r="AF129" s="98"/>
      <c r="AH129" s="98"/>
      <c r="AI129" s="91"/>
      <c r="AJ129" s="91"/>
      <c r="AK129" s="91"/>
      <c r="AL129" s="53"/>
      <c r="AM129" s="91"/>
      <c r="AN129" s="74"/>
      <c r="AO129" s="74"/>
      <c r="AP129" s="74"/>
      <c r="AQ129" s="74"/>
      <c r="AR129" s="74"/>
      <c r="AS129" s="53"/>
      <c r="AT129" s="91"/>
      <c r="AU129" s="91"/>
      <c r="AV129" s="91"/>
      <c r="AW129" s="91"/>
      <c r="AX129" s="91"/>
      <c r="AY129" s="91"/>
      <c r="AZ129" s="91"/>
      <c r="BA129" s="91"/>
      <c r="BB129" s="91"/>
      <c r="BC129" s="98"/>
      <c r="BD129" s="101"/>
      <c r="BE129" s="101"/>
      <c r="BF129" s="101"/>
      <c r="BG129" s="101"/>
      <c r="BI129" s="101"/>
      <c r="BJ129" s="101"/>
      <c r="BK129" s="101"/>
    </row>
    <row r="130" spans="1:63" s="85" customFormat="1" ht="15" customHeight="1" x14ac:dyDescent="0.35">
      <c r="A130" s="93"/>
      <c r="B130" s="69"/>
      <c r="C130" s="91">
        <f>2+1.6</f>
        <v>3.6</v>
      </c>
      <c r="D130" s="91">
        <v>0.8</v>
      </c>
      <c r="E130" s="91"/>
      <c r="F130" s="53"/>
      <c r="G130" s="53"/>
      <c r="H130" s="91"/>
      <c r="I130" s="91"/>
      <c r="J130" s="91"/>
      <c r="K130" s="74"/>
      <c r="L130" s="74"/>
      <c r="M130" s="74"/>
      <c r="N130" s="74"/>
      <c r="O130" s="74"/>
      <c r="P130" s="91"/>
      <c r="Q130" s="74"/>
      <c r="R130" s="98"/>
      <c r="S130" s="91"/>
      <c r="T130" s="91"/>
      <c r="U130" s="91"/>
      <c r="V130" s="98"/>
      <c r="W130" s="91"/>
      <c r="X130" s="91"/>
      <c r="Y130" s="91"/>
      <c r="Z130" s="91"/>
      <c r="AA130" s="98"/>
      <c r="AB130" s="98"/>
      <c r="AC130" s="98"/>
      <c r="AD130" s="91">
        <f>C130*D130</f>
        <v>2.8800000000000003</v>
      </c>
      <c r="AE130" s="98"/>
      <c r="AF130" s="98"/>
      <c r="AH130" s="98"/>
      <c r="AI130" s="91"/>
      <c r="AJ130" s="91"/>
      <c r="AK130" s="91"/>
      <c r="AL130" s="53"/>
      <c r="AM130" s="91"/>
      <c r="AN130" s="74"/>
      <c r="AO130" s="74"/>
      <c r="AP130" s="74"/>
      <c r="AQ130" s="74"/>
      <c r="AR130" s="74"/>
      <c r="AS130" s="53"/>
      <c r="AT130" s="91"/>
      <c r="AU130" s="91"/>
      <c r="AV130" s="91"/>
      <c r="AW130" s="91"/>
      <c r="AX130" s="91"/>
      <c r="AY130" s="91"/>
      <c r="AZ130" s="91"/>
      <c r="BA130" s="91"/>
      <c r="BB130" s="91"/>
      <c r="BC130" s="98"/>
      <c r="BD130" s="101"/>
      <c r="BE130" s="101"/>
      <c r="BF130" s="101"/>
      <c r="BG130" s="101"/>
      <c r="BI130" s="101"/>
      <c r="BJ130" s="101"/>
      <c r="BK130" s="101"/>
    </row>
    <row r="131" spans="1:63" s="85" customFormat="1" ht="15" customHeight="1" x14ac:dyDescent="0.35">
      <c r="A131" s="93"/>
      <c r="B131" s="69" t="str">
        <f>'Popis del_fasada'!B128</f>
        <v>TESARSKA DELA</v>
      </c>
      <c r="C131" s="91"/>
      <c r="D131" s="91"/>
      <c r="E131" s="91"/>
      <c r="F131" s="53"/>
      <c r="G131" s="53"/>
      <c r="H131" s="91"/>
      <c r="I131" s="91"/>
      <c r="J131" s="91"/>
      <c r="K131" s="74"/>
      <c r="L131" s="74"/>
      <c r="M131" s="74"/>
      <c r="N131" s="74"/>
      <c r="O131" s="74"/>
      <c r="P131" s="91"/>
      <c r="Q131" s="74"/>
      <c r="R131" s="98"/>
      <c r="S131" s="91"/>
      <c r="T131" s="91"/>
      <c r="U131" s="91"/>
      <c r="V131" s="98"/>
      <c r="W131" s="91"/>
      <c r="X131" s="91"/>
      <c r="Y131" s="91"/>
      <c r="Z131" s="91"/>
      <c r="AA131" s="98"/>
      <c r="AB131" s="98"/>
      <c r="AC131" s="98"/>
      <c r="AD131" s="91"/>
      <c r="AE131" s="98"/>
      <c r="AF131" s="98"/>
      <c r="AH131" s="98"/>
      <c r="AI131" s="91"/>
      <c r="AJ131" s="91"/>
      <c r="AK131" s="91"/>
      <c r="AL131" s="53"/>
      <c r="AM131" s="91"/>
      <c r="AN131" s="74"/>
      <c r="AO131" s="74"/>
      <c r="AP131" s="74"/>
      <c r="AQ131" s="74"/>
      <c r="AR131" s="74"/>
      <c r="AS131" s="53"/>
      <c r="AT131" s="91"/>
      <c r="AU131" s="91"/>
      <c r="AV131" s="91"/>
      <c r="AW131" s="91"/>
      <c r="AX131" s="91"/>
      <c r="AY131" s="91"/>
      <c r="AZ131" s="91"/>
      <c r="BA131" s="91"/>
      <c r="BB131" s="91"/>
      <c r="BC131" s="98"/>
      <c r="BD131" s="101"/>
      <c r="BE131" s="101"/>
      <c r="BF131" s="101"/>
      <c r="BG131" s="101"/>
      <c r="BI131" s="101"/>
      <c r="BJ131" s="101"/>
      <c r="BK131" s="101"/>
    </row>
    <row r="132" spans="1:63" s="85" customFormat="1" ht="15" customHeight="1" x14ac:dyDescent="0.35">
      <c r="A132" s="93" t="str">
        <f>'Popis del_fasada'!A130</f>
        <v>1</v>
      </c>
      <c r="B132" s="69" t="s">
        <v>21</v>
      </c>
      <c r="C132" s="91">
        <f>0.8+0.3+11.03+1.53+0.3+0.8</f>
        <v>14.76</v>
      </c>
      <c r="D132" s="56">
        <f>7.65-0.8</f>
        <v>6.8500000000000005</v>
      </c>
      <c r="E132" s="91"/>
      <c r="F132" s="53"/>
      <c r="G132" s="53"/>
      <c r="H132" s="91"/>
      <c r="I132" s="91"/>
      <c r="J132" s="91"/>
      <c r="K132" s="74"/>
      <c r="L132" s="74"/>
      <c r="M132" s="74"/>
      <c r="N132" s="74"/>
      <c r="O132" s="74"/>
      <c r="P132" s="91"/>
      <c r="Q132" s="74"/>
      <c r="R132" s="98"/>
      <c r="S132" s="91"/>
      <c r="T132" s="91"/>
      <c r="U132" s="91"/>
      <c r="V132" s="98"/>
      <c r="W132" s="91"/>
      <c r="X132" s="91"/>
      <c r="Y132" s="91"/>
      <c r="Z132" s="91"/>
      <c r="AA132" s="98"/>
      <c r="AB132" s="98"/>
      <c r="AC132" s="98"/>
      <c r="AD132" s="91"/>
      <c r="AE132" s="98"/>
      <c r="AF132" s="98"/>
      <c r="AH132" s="98"/>
      <c r="AI132" s="91">
        <f>C132*D132</f>
        <v>101.10600000000001</v>
      </c>
      <c r="AJ132" s="91"/>
      <c r="AK132" s="91"/>
      <c r="AL132" s="53"/>
      <c r="AM132" s="91"/>
      <c r="AN132" s="74"/>
      <c r="AO132" s="74"/>
      <c r="AP132" s="74"/>
      <c r="AQ132" s="74"/>
      <c r="AR132" s="74"/>
      <c r="AS132" s="53"/>
      <c r="AT132" s="91"/>
      <c r="AU132" s="91"/>
      <c r="AV132" s="91"/>
      <c r="AW132" s="91"/>
      <c r="AX132" s="91"/>
      <c r="AY132" s="91"/>
      <c r="AZ132" s="91"/>
      <c r="BA132" s="91"/>
      <c r="BB132" s="91"/>
      <c r="BC132" s="98"/>
      <c r="BD132" s="101"/>
      <c r="BE132" s="101"/>
      <c r="BF132" s="101"/>
      <c r="BG132" s="101"/>
      <c r="BI132" s="101"/>
      <c r="BJ132" s="101"/>
      <c r="BK132" s="101"/>
    </row>
    <row r="133" spans="1:63" s="85" customFormat="1" ht="15" customHeight="1" x14ac:dyDescent="0.35">
      <c r="A133" s="93"/>
      <c r="B133" s="69"/>
      <c r="C133" s="91"/>
      <c r="D133" s="91"/>
      <c r="E133" s="91"/>
      <c r="F133" s="53"/>
      <c r="G133" s="53"/>
      <c r="H133" s="91"/>
      <c r="I133" s="91"/>
      <c r="J133" s="91"/>
      <c r="K133" s="74"/>
      <c r="L133" s="74"/>
      <c r="M133" s="74"/>
      <c r="N133" s="74"/>
      <c r="O133" s="74"/>
      <c r="P133" s="91"/>
      <c r="Q133" s="74"/>
      <c r="R133" s="98"/>
      <c r="S133" s="91"/>
      <c r="T133" s="91"/>
      <c r="U133" s="91"/>
      <c r="V133" s="98"/>
      <c r="W133" s="91"/>
      <c r="X133" s="91"/>
      <c r="Y133" s="91"/>
      <c r="Z133" s="91"/>
      <c r="AA133" s="98"/>
      <c r="AB133" s="98"/>
      <c r="AC133" s="98"/>
      <c r="AD133" s="91"/>
      <c r="AE133" s="98"/>
      <c r="AF133" s="98"/>
      <c r="AH133" s="98"/>
      <c r="AI133" s="91"/>
      <c r="AJ133" s="91"/>
      <c r="AK133" s="91"/>
      <c r="AL133" s="53"/>
      <c r="AM133" s="91"/>
      <c r="AN133" s="74"/>
      <c r="AO133" s="74"/>
      <c r="AP133" s="74"/>
      <c r="AQ133" s="74"/>
      <c r="AR133" s="74"/>
      <c r="AS133" s="53"/>
      <c r="AT133" s="91"/>
      <c r="AU133" s="91"/>
      <c r="AV133" s="91"/>
      <c r="AW133" s="91"/>
      <c r="AX133" s="91"/>
      <c r="AY133" s="91"/>
      <c r="AZ133" s="91"/>
      <c r="BA133" s="91"/>
      <c r="BB133" s="91"/>
      <c r="BC133" s="98"/>
      <c r="BD133" s="101"/>
      <c r="BE133" s="101"/>
      <c r="BF133" s="101"/>
      <c r="BG133" s="101"/>
      <c r="BI133" s="101"/>
      <c r="BJ133" s="101"/>
      <c r="BK133" s="101"/>
    </row>
    <row r="134" spans="1:63" s="85" customFormat="1" ht="15" customHeight="1" x14ac:dyDescent="0.35">
      <c r="A134" s="93"/>
      <c r="B134" s="69" t="str">
        <f>'Popis del_fasada'!B136</f>
        <v>FASADERSKA DELA</v>
      </c>
      <c r="C134" s="91"/>
      <c r="D134" s="91"/>
      <c r="E134" s="91"/>
      <c r="F134" s="53"/>
      <c r="G134" s="53"/>
      <c r="H134" s="91"/>
      <c r="I134" s="91"/>
      <c r="J134" s="91"/>
      <c r="K134" s="74"/>
      <c r="L134" s="74"/>
      <c r="M134" s="74"/>
      <c r="N134" s="74"/>
      <c r="O134" s="74"/>
      <c r="P134" s="91"/>
      <c r="Q134" s="74"/>
      <c r="R134" s="98"/>
      <c r="S134" s="91"/>
      <c r="T134" s="91"/>
      <c r="U134" s="91"/>
      <c r="V134" s="98"/>
      <c r="W134" s="91"/>
      <c r="X134" s="91"/>
      <c r="Y134" s="91"/>
      <c r="Z134" s="91"/>
      <c r="AA134" s="98"/>
      <c r="AB134" s="98"/>
      <c r="AC134" s="98"/>
      <c r="AD134" s="91"/>
      <c r="AE134" s="98"/>
      <c r="AF134" s="98"/>
      <c r="AH134" s="98"/>
      <c r="AI134" s="91"/>
      <c r="AJ134" s="91"/>
      <c r="AK134" s="91"/>
      <c r="AL134" s="53"/>
      <c r="AM134" s="91"/>
      <c r="AN134" s="74"/>
      <c r="AO134" s="74"/>
      <c r="AP134" s="74"/>
      <c r="AQ134" s="74"/>
      <c r="AR134" s="74"/>
      <c r="AS134" s="53"/>
      <c r="AT134" s="91"/>
      <c r="AU134" s="91"/>
      <c r="AV134" s="91"/>
      <c r="AW134" s="91"/>
      <c r="AX134" s="91"/>
      <c r="AY134" s="91"/>
      <c r="AZ134" s="91"/>
      <c r="BA134" s="91"/>
      <c r="BB134" s="91"/>
      <c r="BC134" s="98"/>
      <c r="BD134" s="101"/>
      <c r="BE134" s="101"/>
      <c r="BF134" s="101"/>
      <c r="BG134" s="101"/>
      <c r="BI134" s="101"/>
      <c r="BJ134" s="101"/>
      <c r="BK134" s="101"/>
    </row>
    <row r="135" spans="1:63" s="85" customFormat="1" ht="15" customHeight="1" x14ac:dyDescent="0.35">
      <c r="A135" s="93" t="str">
        <f>'Popis del_fasada'!A141</f>
        <v>1</v>
      </c>
      <c r="B135" s="185" t="s">
        <v>110</v>
      </c>
      <c r="C135" s="91">
        <f>0.15+11.03+1.53+0.15</f>
        <v>12.86</v>
      </c>
      <c r="D135" s="91">
        <f>(0.87+1.08)/2+0.3</f>
        <v>1.2750000000000001</v>
      </c>
      <c r="E135" s="91"/>
      <c r="F135" s="53"/>
      <c r="G135" s="53"/>
      <c r="H135" s="91"/>
      <c r="I135" s="91"/>
      <c r="J135" s="91"/>
      <c r="K135" s="74"/>
      <c r="L135" s="74"/>
      <c r="M135" s="74"/>
      <c r="N135" s="74"/>
      <c r="O135" s="74"/>
      <c r="P135" s="91"/>
      <c r="Q135" s="74"/>
      <c r="R135" s="98"/>
      <c r="S135" s="91"/>
      <c r="T135" s="91"/>
      <c r="U135" s="91"/>
      <c r="V135" s="98"/>
      <c r="W135" s="91"/>
      <c r="X135" s="91"/>
      <c r="Y135" s="91"/>
      <c r="Z135" s="91"/>
      <c r="AA135" s="98"/>
      <c r="AB135" s="98"/>
      <c r="AC135" s="98"/>
      <c r="AD135" s="91"/>
      <c r="AE135" s="98"/>
      <c r="AF135" s="98"/>
      <c r="AH135" s="98"/>
      <c r="AI135" s="91"/>
      <c r="AJ135" s="91"/>
      <c r="AK135" s="91"/>
      <c r="AL135" s="53"/>
      <c r="AM135" s="91">
        <f>C135*D135</f>
        <v>16.3965</v>
      </c>
      <c r="AN135" s="74"/>
      <c r="AO135" s="74"/>
      <c r="AP135" s="74"/>
      <c r="AQ135" s="74"/>
      <c r="AR135" s="74"/>
      <c r="AS135" s="53"/>
      <c r="AT135" s="91"/>
      <c r="AU135" s="91"/>
      <c r="AV135" s="91"/>
      <c r="AW135" s="91"/>
      <c r="AX135" s="91"/>
      <c r="AY135" s="91"/>
      <c r="AZ135" s="91"/>
      <c r="BA135" s="91"/>
      <c r="BB135" s="91"/>
      <c r="BC135" s="98"/>
      <c r="BD135" s="101"/>
      <c r="BE135" s="101"/>
      <c r="BF135" s="101"/>
      <c r="BG135" s="101"/>
      <c r="BI135" s="101"/>
      <c r="BJ135" s="101"/>
      <c r="BK135" s="101"/>
    </row>
    <row r="136" spans="1:63" s="84" customFormat="1" x14ac:dyDescent="0.35">
      <c r="A136" s="141" t="str">
        <f>'Popis del_fasada'!A143</f>
        <v>2</v>
      </c>
      <c r="B136" s="69" t="s">
        <v>111</v>
      </c>
      <c r="C136" s="91">
        <f>0.15+11.03+0.15</f>
        <v>11.33</v>
      </c>
      <c r="D136" s="72">
        <v>6.88</v>
      </c>
      <c r="E136" s="72"/>
      <c r="F136" s="46"/>
      <c r="G136" s="46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138"/>
      <c r="S136" s="75"/>
      <c r="T136" s="75"/>
      <c r="U136" s="75"/>
      <c r="V136" s="46"/>
      <c r="W136" s="75"/>
      <c r="X136" s="75"/>
      <c r="Y136" s="75"/>
      <c r="Z136" s="75"/>
      <c r="AA136" s="46"/>
      <c r="AB136" s="46"/>
      <c r="AC136" s="46"/>
      <c r="AD136" s="92"/>
      <c r="AE136" s="46"/>
      <c r="AF136" s="46"/>
      <c r="AH136" s="46"/>
      <c r="AI136" s="75"/>
      <c r="AJ136" s="75"/>
      <c r="AK136" s="75"/>
      <c r="AL136" s="46"/>
      <c r="AM136" s="75"/>
      <c r="AN136" s="75">
        <f>C136*D136</f>
        <v>77.950400000000002</v>
      </c>
      <c r="AO136" s="75"/>
      <c r="AP136" s="75"/>
      <c r="AQ136" s="75"/>
      <c r="AR136" s="75"/>
      <c r="AS136" s="46"/>
      <c r="AT136" s="92"/>
      <c r="AU136" s="92"/>
      <c r="AV136" s="92"/>
      <c r="AW136" s="92"/>
      <c r="AX136" s="92"/>
      <c r="AY136" s="92"/>
      <c r="AZ136" s="92"/>
      <c r="BA136" s="92"/>
      <c r="BB136" s="92"/>
      <c r="BC136" s="46"/>
      <c r="BD136" s="102"/>
      <c r="BE136" s="102"/>
      <c r="BF136" s="102"/>
      <c r="BG136" s="102"/>
      <c r="BI136" s="102"/>
      <c r="BJ136" s="102"/>
      <c r="BK136" s="102"/>
    </row>
    <row r="137" spans="1:63" s="69" customFormat="1" x14ac:dyDescent="0.35">
      <c r="A137" s="93"/>
      <c r="B137" s="69" t="s">
        <v>169</v>
      </c>
      <c r="C137" s="72">
        <v>1.53</v>
      </c>
      <c r="D137" s="72">
        <v>3.58</v>
      </c>
      <c r="E137" s="72"/>
      <c r="F137" s="71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56"/>
      <c r="S137" s="72"/>
      <c r="T137" s="72"/>
      <c r="U137" s="72"/>
      <c r="W137" s="72"/>
      <c r="X137" s="72"/>
      <c r="Y137" s="72"/>
      <c r="Z137" s="72"/>
      <c r="AA137" s="70"/>
      <c r="AD137" s="71"/>
      <c r="AI137" s="72"/>
      <c r="AJ137" s="72"/>
      <c r="AK137" s="72"/>
      <c r="AM137" s="90"/>
      <c r="AN137" s="75">
        <f>C137*D137</f>
        <v>5.4774000000000003</v>
      </c>
      <c r="AO137" s="90"/>
      <c r="AP137" s="90"/>
      <c r="AQ137" s="90"/>
      <c r="AR137" s="90"/>
      <c r="AS137" s="86"/>
      <c r="AT137" s="86"/>
      <c r="AU137" s="86"/>
      <c r="AV137" s="86"/>
      <c r="AW137" s="86"/>
      <c r="AX137" s="86"/>
      <c r="AY137" s="86"/>
      <c r="AZ137" s="86"/>
      <c r="BA137" s="86"/>
      <c r="BB137" s="86"/>
      <c r="BC137" s="86"/>
      <c r="BD137" s="56"/>
      <c r="BE137" s="56"/>
      <c r="BF137" s="56"/>
      <c r="BG137" s="56"/>
      <c r="BI137" s="56"/>
      <c r="BJ137" s="56"/>
      <c r="BK137" s="56"/>
    </row>
    <row r="138" spans="1:63" s="69" customFormat="1" x14ac:dyDescent="0.35">
      <c r="A138" s="93" t="str">
        <f>'Popis del_fasada'!A145</f>
        <v>3</v>
      </c>
      <c r="B138" s="69" t="s">
        <v>112</v>
      </c>
      <c r="C138" s="72"/>
      <c r="D138" s="72"/>
      <c r="E138" s="72"/>
      <c r="F138" s="71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56"/>
      <c r="S138" s="72"/>
      <c r="T138" s="72"/>
      <c r="U138" s="72"/>
      <c r="W138" s="72"/>
      <c r="X138" s="72"/>
      <c r="Y138" s="72"/>
      <c r="Z138" s="72"/>
      <c r="AD138" s="71"/>
      <c r="AI138" s="72"/>
      <c r="AJ138" s="72"/>
      <c r="AK138" s="72"/>
      <c r="AM138" s="90"/>
      <c r="AN138" s="90"/>
      <c r="AO138" s="90"/>
      <c r="AP138" s="90"/>
      <c r="AQ138" s="90"/>
      <c r="AR138" s="90"/>
      <c r="AS138" s="86"/>
      <c r="AT138" s="86"/>
      <c r="AU138" s="86"/>
      <c r="AV138" s="86"/>
      <c r="AW138" s="86"/>
      <c r="AX138" s="86"/>
      <c r="AY138" s="86"/>
      <c r="AZ138" s="86"/>
      <c r="BA138" s="86"/>
      <c r="BB138" s="86"/>
      <c r="BC138" s="86"/>
      <c r="BD138" s="56"/>
      <c r="BE138" s="56"/>
      <c r="BF138" s="56"/>
      <c r="BG138" s="56"/>
      <c r="BI138" s="56"/>
      <c r="BJ138" s="56"/>
      <c r="BK138" s="56"/>
    </row>
    <row r="139" spans="1:63" ht="16.5" x14ac:dyDescent="0.45">
      <c r="B139" s="56" t="s">
        <v>240</v>
      </c>
      <c r="C139" s="56">
        <v>1.79</v>
      </c>
      <c r="D139" s="56">
        <v>1.4</v>
      </c>
      <c r="E139" s="56">
        <v>2</v>
      </c>
      <c r="F139" s="72">
        <f>0.35-0.2</f>
        <v>0.14999999999999997</v>
      </c>
      <c r="G139" s="69"/>
      <c r="AO139" s="72">
        <f>(C139+2*D139)*E139*$C$6</f>
        <v>1.1934</v>
      </c>
      <c r="AP139" s="72">
        <f>(C139+2*D139)*E139*F139</f>
        <v>1.3769999999999996</v>
      </c>
      <c r="AS139" s="72"/>
      <c r="BC139" s="72"/>
    </row>
    <row r="140" spans="1:63" ht="16.5" x14ac:dyDescent="0.45">
      <c r="B140" s="56" t="s">
        <v>241</v>
      </c>
      <c r="C140" s="56">
        <v>0.79</v>
      </c>
      <c r="D140" s="56">
        <v>1.3</v>
      </c>
      <c r="E140" s="56">
        <v>1</v>
      </c>
      <c r="F140" s="72">
        <v>0.15</v>
      </c>
      <c r="AO140" s="72">
        <f>(C140+2*D140)*E140*$C$6</f>
        <v>0.44070000000000004</v>
      </c>
      <c r="AP140" s="72">
        <f>(C140+2*D140)*E140*F140</f>
        <v>0.50849999999999995</v>
      </c>
      <c r="AS140" s="72"/>
      <c r="BC140" s="72"/>
    </row>
    <row r="141" spans="1:63" x14ac:dyDescent="0.35">
      <c r="A141" s="93">
        <f>'Popis del_fasada'!A149</f>
        <v>5</v>
      </c>
      <c r="B141" s="69" t="s">
        <v>120</v>
      </c>
      <c r="C141" s="91">
        <f>0.15+11.03+0.15</f>
        <v>11.33</v>
      </c>
      <c r="D141" s="72">
        <f>7.96+0.3</f>
        <v>8.26</v>
      </c>
      <c r="E141" s="72"/>
      <c r="F141" s="72"/>
      <c r="AP141" s="72">
        <f>C141*D141</f>
        <v>93.585799999999992</v>
      </c>
      <c r="AS141" s="72"/>
      <c r="BC141" s="72"/>
    </row>
    <row r="142" spans="1:63" x14ac:dyDescent="0.35">
      <c r="B142" s="69" t="s">
        <v>169</v>
      </c>
      <c r="C142" s="72">
        <v>1.53</v>
      </c>
      <c r="D142" s="72">
        <f>3.58+0.3</f>
        <v>3.88</v>
      </c>
      <c r="E142" s="72"/>
      <c r="F142" s="72"/>
      <c r="AP142" s="72">
        <f>C142*D142</f>
        <v>5.9363999999999999</v>
      </c>
      <c r="AS142" s="72"/>
      <c r="BC142" s="72"/>
    </row>
    <row r="143" spans="1:63" x14ac:dyDescent="0.35">
      <c r="A143" s="93">
        <f>'Popis del_fasada'!A151</f>
        <v>6</v>
      </c>
      <c r="B143" s="69" t="s">
        <v>173</v>
      </c>
      <c r="C143" s="72">
        <f>0.25*3.14</f>
        <v>0.78500000000000003</v>
      </c>
      <c r="D143" s="72">
        <v>2.16</v>
      </c>
      <c r="E143" s="72"/>
      <c r="F143" s="72"/>
      <c r="AQ143" s="72">
        <f>C143*D143</f>
        <v>1.6956000000000002</v>
      </c>
      <c r="AS143" s="72"/>
      <c r="BC143" s="72"/>
    </row>
    <row r="144" spans="1:63" x14ac:dyDescent="0.35">
      <c r="C144" s="142"/>
      <c r="D144" s="142"/>
      <c r="E144" s="72"/>
      <c r="F144" s="72"/>
      <c r="AS144" s="72"/>
      <c r="BC144" s="72"/>
    </row>
    <row r="145" spans="1:61" x14ac:dyDescent="0.35">
      <c r="B145" s="69" t="str">
        <f>'Popis del_fasada'!B155</f>
        <v>KLEPARSKA DELA</v>
      </c>
      <c r="C145" s="143"/>
      <c r="D145" s="143"/>
      <c r="E145" s="72"/>
      <c r="F145" s="89"/>
      <c r="AS145" s="72"/>
      <c r="BC145" s="72"/>
    </row>
    <row r="146" spans="1:61" x14ac:dyDescent="0.35">
      <c r="A146" s="93">
        <f>'Popis del_fasada'!A157</f>
        <v>1</v>
      </c>
      <c r="B146" s="69" t="s">
        <v>143</v>
      </c>
      <c r="C146" s="101">
        <f>0.89+7.06+0.4</f>
        <v>8.35</v>
      </c>
      <c r="D146" s="72"/>
      <c r="E146" s="72"/>
      <c r="F146" s="72"/>
      <c r="AS146" s="72"/>
      <c r="AT146" s="72">
        <f>C146</f>
        <v>8.35</v>
      </c>
      <c r="BC146" s="72"/>
    </row>
    <row r="147" spans="1:61" x14ac:dyDescent="0.35">
      <c r="B147" s="69"/>
      <c r="C147" s="72"/>
      <c r="D147" s="72"/>
      <c r="E147" s="72"/>
      <c r="AS147" s="72"/>
    </row>
    <row r="148" spans="1:61" s="72" customFormat="1" x14ac:dyDescent="0.35">
      <c r="A148" s="93"/>
      <c r="B148" s="69" t="str">
        <f>'Popis del_fasada'!B217</f>
        <v>RAZNA DELA</v>
      </c>
      <c r="C148" s="56"/>
      <c r="D148" s="56"/>
      <c r="E148" s="56"/>
    </row>
    <row r="149" spans="1:61" s="72" customFormat="1" x14ac:dyDescent="0.35">
      <c r="A149" s="93">
        <f>'Popis del_fasada'!A237</f>
        <v>10</v>
      </c>
      <c r="B149" s="69" t="s">
        <v>140</v>
      </c>
      <c r="C149" s="60"/>
      <c r="D149" s="60"/>
      <c r="E149" s="56">
        <v>7</v>
      </c>
      <c r="BI149" s="72">
        <f>E149</f>
        <v>7</v>
      </c>
    </row>
    <row r="150" spans="1:61" s="72" customFormat="1" x14ac:dyDescent="0.35">
      <c r="A150" s="93"/>
      <c r="C150" s="60"/>
      <c r="D150" s="60"/>
      <c r="E150" s="56"/>
    </row>
    <row r="151" spans="1:61" s="72" customFormat="1" x14ac:dyDescent="0.35">
      <c r="A151" s="93"/>
      <c r="B151" s="69"/>
    </row>
    <row r="152" spans="1:61" s="72" customFormat="1" x14ac:dyDescent="0.35">
      <c r="A152" s="93"/>
      <c r="B152" s="88" t="s">
        <v>72</v>
      </c>
    </row>
    <row r="153" spans="1:61" s="72" customFormat="1" x14ac:dyDescent="0.35">
      <c r="A153" s="93"/>
      <c r="B153" s="56"/>
    </row>
    <row r="154" spans="1:61" s="72" customFormat="1" x14ac:dyDescent="0.35">
      <c r="A154" s="93"/>
      <c r="B154" s="69" t="str">
        <f>'Popis del_fasada'!B27</f>
        <v>RUŠITVENA IN ODSTRANITVENA DELA</v>
      </c>
    </row>
    <row r="155" spans="1:61" s="72" customFormat="1" x14ac:dyDescent="0.35">
      <c r="A155" s="93" t="str">
        <f>'Popis del_fasada'!A31</f>
        <v>1</v>
      </c>
      <c r="B155" s="69" t="s">
        <v>98</v>
      </c>
      <c r="C155" s="86"/>
      <c r="D155" s="86"/>
      <c r="E155" s="71"/>
    </row>
    <row r="156" spans="1:61" s="72" customFormat="1" ht="16.5" x14ac:dyDescent="0.45">
      <c r="A156" s="93"/>
      <c r="B156" s="56" t="s">
        <v>244</v>
      </c>
      <c r="C156" s="90">
        <v>1.19</v>
      </c>
      <c r="D156" s="90">
        <v>1.29</v>
      </c>
      <c r="E156" s="72">
        <v>2</v>
      </c>
      <c r="K156" s="72">
        <f t="shared" ref="K156:K160" si="2">(C156+2*D156)*E156*$C$6</f>
        <v>0.98020000000000007</v>
      </c>
      <c r="N156" s="72">
        <f t="shared" ref="N156:N157" si="3">C156</f>
        <v>1.19</v>
      </c>
    </row>
    <row r="157" spans="1:61" s="72" customFormat="1" ht="16.5" x14ac:dyDescent="0.45">
      <c r="A157" s="93"/>
      <c r="B157" s="56" t="s">
        <v>239</v>
      </c>
      <c r="C157" s="56">
        <v>1.39</v>
      </c>
      <c r="D157" s="56">
        <v>1.39</v>
      </c>
      <c r="E157" s="72">
        <v>1</v>
      </c>
      <c r="K157" s="72">
        <f t="shared" si="2"/>
        <v>0.54210000000000003</v>
      </c>
      <c r="L157" s="72">
        <f>E157</f>
        <v>1</v>
      </c>
      <c r="M157" s="72">
        <f>(0.06+C157+0.06)*E157</f>
        <v>1.51</v>
      </c>
      <c r="N157" s="72">
        <f t="shared" si="3"/>
        <v>1.39</v>
      </c>
    </row>
    <row r="158" spans="1:61" s="72" customFormat="1" ht="16.5" x14ac:dyDescent="0.45">
      <c r="A158" s="93"/>
      <c r="B158" s="56" t="s">
        <v>245</v>
      </c>
      <c r="C158" s="56">
        <v>0.79</v>
      </c>
      <c r="D158" s="56">
        <v>2.09</v>
      </c>
      <c r="E158" s="72">
        <v>1</v>
      </c>
      <c r="K158" s="72">
        <f t="shared" si="2"/>
        <v>0.64610000000000001</v>
      </c>
      <c r="L158" s="72">
        <f>E158</f>
        <v>1</v>
      </c>
    </row>
    <row r="159" spans="1:61" s="72" customFormat="1" ht="16.5" x14ac:dyDescent="0.45">
      <c r="A159" s="93"/>
      <c r="B159" s="56" t="s">
        <v>246</v>
      </c>
      <c r="C159" s="56">
        <v>1.59</v>
      </c>
      <c r="D159" s="56">
        <v>2.09</v>
      </c>
      <c r="E159" s="72">
        <v>1</v>
      </c>
      <c r="K159" s="72">
        <f t="shared" si="2"/>
        <v>0.75009999999999999</v>
      </c>
    </row>
    <row r="160" spans="1:61" s="72" customFormat="1" ht="16.5" x14ac:dyDescent="0.45">
      <c r="A160" s="93"/>
      <c r="B160" s="56" t="s">
        <v>238</v>
      </c>
      <c r="C160" s="72">
        <v>2.4900000000000002</v>
      </c>
      <c r="D160" s="72">
        <v>1.4</v>
      </c>
      <c r="E160" s="56">
        <v>1</v>
      </c>
      <c r="J160" s="72">
        <f>E160</f>
        <v>1</v>
      </c>
      <c r="K160" s="72">
        <f t="shared" si="2"/>
        <v>0.68769999999999998</v>
      </c>
      <c r="N160" s="72">
        <f>C160</f>
        <v>2.4900000000000002</v>
      </c>
    </row>
    <row r="161" spans="1:40" s="72" customFormat="1" x14ac:dyDescent="0.35">
      <c r="A161" s="93"/>
      <c r="B161" s="56"/>
    </row>
    <row r="162" spans="1:40" s="72" customFormat="1" x14ac:dyDescent="0.35">
      <c r="A162" s="93"/>
      <c r="B162" s="56"/>
    </row>
    <row r="163" spans="1:40" s="72" customFormat="1" x14ac:dyDescent="0.35">
      <c r="A163" s="93"/>
      <c r="B163" s="70" t="str">
        <f>'Popis del_fasada'!B84</f>
        <v>ZIDARSKA DELA</v>
      </c>
    </row>
    <row r="164" spans="1:40" s="72" customFormat="1" x14ac:dyDescent="0.35">
      <c r="A164" s="93">
        <f>'Popis del_fasada'!A88</f>
        <v>2</v>
      </c>
      <c r="B164" s="69" t="s">
        <v>247</v>
      </c>
      <c r="C164" s="72">
        <v>2</v>
      </c>
      <c r="D164" s="72">
        <v>0.4</v>
      </c>
      <c r="E164" s="72">
        <v>3</v>
      </c>
      <c r="AE164" s="72">
        <f>C164*D164*E164</f>
        <v>2.4000000000000004</v>
      </c>
    </row>
    <row r="165" spans="1:40" s="72" customFormat="1" x14ac:dyDescent="0.35">
      <c r="A165" s="93"/>
      <c r="B165" s="69" t="s">
        <v>248</v>
      </c>
      <c r="C165" s="72">
        <v>9.1999999999999993</v>
      </c>
      <c r="D165" s="72">
        <v>0.6</v>
      </c>
      <c r="AE165" s="72">
        <f>C165*D165</f>
        <v>5.52</v>
      </c>
    </row>
    <row r="166" spans="1:40" s="72" customFormat="1" x14ac:dyDescent="0.35">
      <c r="A166" s="93">
        <f>'Popis del_fasada'!A90</f>
        <v>3</v>
      </c>
      <c r="B166" s="70" t="s">
        <v>57</v>
      </c>
      <c r="C166" s="72">
        <v>9.32</v>
      </c>
      <c r="D166" s="72">
        <f>(7.94+11.21)/2</f>
        <v>9.5750000000000011</v>
      </c>
      <c r="X166" s="72">
        <f>C166*D166</f>
        <v>89.239000000000019</v>
      </c>
    </row>
    <row r="167" spans="1:40" s="72" customFormat="1" x14ac:dyDescent="0.35">
      <c r="A167" s="93">
        <f>'Popis del_fasada'!A92</f>
        <v>4</v>
      </c>
      <c r="B167" s="70" t="s">
        <v>194</v>
      </c>
      <c r="C167" s="72">
        <f>9.02+0.48</f>
        <v>9.5</v>
      </c>
      <c r="D167" s="72">
        <f>1.73+0.3</f>
        <v>2.0299999999999998</v>
      </c>
      <c r="Z167" s="72">
        <f>C167*D167</f>
        <v>19.284999999999997</v>
      </c>
    </row>
    <row r="168" spans="1:40" s="72" customFormat="1" x14ac:dyDescent="0.35">
      <c r="A168" s="93">
        <f>'Popis del_fasada'!A96</f>
        <v>6</v>
      </c>
      <c r="B168" s="69" t="s">
        <v>131</v>
      </c>
    </row>
    <row r="169" spans="1:40" s="72" customFormat="1" ht="16.5" x14ac:dyDescent="0.45">
      <c r="A169" s="93"/>
      <c r="B169" s="56" t="s">
        <v>244</v>
      </c>
      <c r="C169" s="90">
        <v>1.19</v>
      </c>
      <c r="D169" s="90">
        <v>1.29</v>
      </c>
      <c r="E169" s="72">
        <v>2</v>
      </c>
      <c r="AB169" s="56">
        <f>(0.05+C169+0.05)*E169</f>
        <v>2.58</v>
      </c>
      <c r="AN169" s="72">
        <f>-C169*D169*E169</f>
        <v>-3.0701999999999998</v>
      </c>
    </row>
    <row r="170" spans="1:40" s="72" customFormat="1" ht="16.5" x14ac:dyDescent="0.45">
      <c r="A170" s="93"/>
      <c r="B170" s="56" t="s">
        <v>239</v>
      </c>
      <c r="C170" s="56">
        <v>1.39</v>
      </c>
      <c r="D170" s="56">
        <v>1.39</v>
      </c>
      <c r="E170" s="72">
        <v>1</v>
      </c>
      <c r="AB170" s="56">
        <f>(0.05+C170+0.05)*E170</f>
        <v>1.49</v>
      </c>
      <c r="AN170" s="72">
        <f>-C170*D170*E170</f>
        <v>-1.9320999999999997</v>
      </c>
    </row>
    <row r="171" spans="1:40" s="72" customFormat="1" ht="16.5" x14ac:dyDescent="0.45">
      <c r="A171" s="93"/>
      <c r="B171" s="56" t="s">
        <v>245</v>
      </c>
      <c r="C171" s="56">
        <v>0.79</v>
      </c>
      <c r="D171" s="56">
        <v>2.09</v>
      </c>
      <c r="E171" s="72">
        <v>1</v>
      </c>
      <c r="AB171" s="56">
        <f>(0.05+C171+0.05)*E171</f>
        <v>0.89000000000000012</v>
      </c>
      <c r="AN171" s="72">
        <f>-C171*D171*E171</f>
        <v>-1.6511</v>
      </c>
    </row>
    <row r="172" spans="1:40" s="72" customFormat="1" ht="16.5" x14ac:dyDescent="0.45">
      <c r="A172" s="93"/>
      <c r="B172" s="56" t="s">
        <v>246</v>
      </c>
      <c r="C172" s="56">
        <v>1.59</v>
      </c>
      <c r="D172" s="56">
        <v>2.09</v>
      </c>
      <c r="E172" s="72">
        <v>1</v>
      </c>
      <c r="AB172" s="56">
        <f>(0.05+C172+0.05)*E172</f>
        <v>1.6900000000000002</v>
      </c>
      <c r="AN172" s="72">
        <f>-C172*D172*E172</f>
        <v>-3.3230999999999997</v>
      </c>
    </row>
    <row r="173" spans="1:40" s="72" customFormat="1" ht="16.5" x14ac:dyDescent="0.45">
      <c r="A173" s="93"/>
      <c r="B173" s="56" t="s">
        <v>238</v>
      </c>
      <c r="C173" s="72">
        <v>2.4900000000000002</v>
      </c>
      <c r="D173" s="72">
        <v>1.4</v>
      </c>
      <c r="E173" s="56">
        <v>1</v>
      </c>
      <c r="AB173" s="56">
        <f>(0.05+C173+0.05)*E173</f>
        <v>2.59</v>
      </c>
      <c r="AN173" s="72">
        <f>-C173*D173*E173</f>
        <v>-3.4860000000000002</v>
      </c>
    </row>
    <row r="174" spans="1:40" s="72" customFormat="1" x14ac:dyDescent="0.35">
      <c r="A174" s="93"/>
      <c r="B174" s="56"/>
      <c r="C174" s="56"/>
      <c r="D174" s="56"/>
    </row>
    <row r="175" spans="1:40" s="72" customFormat="1" x14ac:dyDescent="0.35">
      <c r="A175" s="93"/>
      <c r="B175" s="69" t="str">
        <f>'Popis del_fasada'!B128</f>
        <v>TESARSKA DELA</v>
      </c>
      <c r="C175" s="56"/>
      <c r="D175" s="56"/>
    </row>
    <row r="176" spans="1:40" s="72" customFormat="1" x14ac:dyDescent="0.35">
      <c r="A176" s="93" t="str">
        <f>'Popis del_fasada'!A130</f>
        <v>1</v>
      </c>
      <c r="B176" s="69" t="s">
        <v>21</v>
      </c>
      <c r="C176" s="56">
        <f>0.8+0.3+9.32+0.3+0.8</f>
        <v>11.520000000000001</v>
      </c>
      <c r="D176" s="56">
        <f>11.21-0.8</f>
        <v>10.41</v>
      </c>
      <c r="E176" s="56"/>
      <c r="AI176" s="91">
        <f>C176*D176</f>
        <v>119.92320000000002</v>
      </c>
    </row>
    <row r="177" spans="1:50" s="72" customFormat="1" x14ac:dyDescent="0.35">
      <c r="A177" s="93"/>
      <c r="B177" s="69"/>
    </row>
    <row r="178" spans="1:50" s="72" customFormat="1" x14ac:dyDescent="0.35">
      <c r="A178" s="93"/>
      <c r="B178" s="69" t="str">
        <f>'Popis del_fasada'!B136</f>
        <v>FASADERSKA DELA</v>
      </c>
    </row>
    <row r="179" spans="1:50" s="72" customFormat="1" x14ac:dyDescent="0.35">
      <c r="A179" s="93" t="str">
        <f>'Popis del_fasada'!A141</f>
        <v>1</v>
      </c>
      <c r="B179" s="185" t="s">
        <v>110</v>
      </c>
      <c r="C179" s="72">
        <f>0.15+9.32+0.15</f>
        <v>9.620000000000001</v>
      </c>
      <c r="D179" s="91">
        <f>1.08+0.3</f>
        <v>1.3800000000000001</v>
      </c>
      <c r="AM179" s="91">
        <f>C179*D179</f>
        <v>13.275600000000003</v>
      </c>
    </row>
    <row r="180" spans="1:50" s="72" customFormat="1" x14ac:dyDescent="0.35">
      <c r="A180" s="93" t="str">
        <f>'Popis del_fasada'!A143</f>
        <v>2</v>
      </c>
      <c r="B180" s="69" t="s">
        <v>111</v>
      </c>
      <c r="C180" s="72">
        <f>0.15+9.32+0.15</f>
        <v>9.620000000000001</v>
      </c>
      <c r="D180" s="72">
        <f>(10.14+6.88)/2</f>
        <v>8.51</v>
      </c>
      <c r="AN180" s="75">
        <f>C180*D180</f>
        <v>81.866200000000006</v>
      </c>
    </row>
    <row r="181" spans="1:50" s="72" customFormat="1" x14ac:dyDescent="0.35">
      <c r="A181" s="93" t="str">
        <f>'Popis del_fasada'!A145</f>
        <v>3</v>
      </c>
      <c r="B181" s="69" t="s">
        <v>112</v>
      </c>
    </row>
    <row r="182" spans="1:50" s="72" customFormat="1" ht="16.5" x14ac:dyDescent="0.45">
      <c r="A182" s="93"/>
      <c r="B182" s="56" t="s">
        <v>244</v>
      </c>
      <c r="C182" s="90">
        <v>1.19</v>
      </c>
      <c r="D182" s="90">
        <v>1.29</v>
      </c>
      <c r="E182" s="72">
        <v>2</v>
      </c>
      <c r="F182" s="72">
        <f t="shared" ref="F182:F186" si="4">0.35-0.2</f>
        <v>0.14999999999999997</v>
      </c>
      <c r="AO182" s="72">
        <f>(C182+2*D182)*E182*$C$6</f>
        <v>0.98020000000000007</v>
      </c>
      <c r="AP182" s="72">
        <f>(C182+2*D182)*E182*F182</f>
        <v>1.1309999999999998</v>
      </c>
    </row>
    <row r="183" spans="1:50" s="72" customFormat="1" ht="16.5" x14ac:dyDescent="0.45">
      <c r="A183" s="93"/>
      <c r="B183" s="56" t="s">
        <v>239</v>
      </c>
      <c r="C183" s="56">
        <v>1.39</v>
      </c>
      <c r="D183" s="56">
        <v>1.39</v>
      </c>
      <c r="E183" s="72">
        <v>1</v>
      </c>
      <c r="F183" s="72">
        <f t="shared" si="4"/>
        <v>0.14999999999999997</v>
      </c>
      <c r="AO183" s="72">
        <f>(C183+2*D183)*E183*$C$6</f>
        <v>0.54210000000000003</v>
      </c>
      <c r="AP183" s="72">
        <f>(C183+2*D183)*E183*F183</f>
        <v>0.62549999999999983</v>
      </c>
    </row>
    <row r="184" spans="1:50" s="72" customFormat="1" ht="16.5" x14ac:dyDescent="0.45">
      <c r="A184" s="93"/>
      <c r="B184" s="56" t="s">
        <v>245</v>
      </c>
      <c r="C184" s="56">
        <v>0.79</v>
      </c>
      <c r="D184" s="56">
        <v>2.09</v>
      </c>
      <c r="E184" s="72">
        <v>1</v>
      </c>
      <c r="F184" s="72">
        <f t="shared" si="4"/>
        <v>0.14999999999999997</v>
      </c>
      <c r="AO184" s="72">
        <f>(C184+2*D184)*E184*$C$6</f>
        <v>0.64610000000000001</v>
      </c>
      <c r="AP184" s="72">
        <f>(C184+2*D184)*E184*F184</f>
        <v>0.74549999999999983</v>
      </c>
    </row>
    <row r="185" spans="1:50" s="72" customFormat="1" ht="16.5" x14ac:dyDescent="0.45">
      <c r="A185" s="93"/>
      <c r="B185" s="56" t="s">
        <v>246</v>
      </c>
      <c r="C185" s="56">
        <v>1.59</v>
      </c>
      <c r="D185" s="56">
        <v>2.09</v>
      </c>
      <c r="E185" s="72">
        <v>1</v>
      </c>
      <c r="F185" s="72">
        <f t="shared" si="4"/>
        <v>0.14999999999999997</v>
      </c>
      <c r="AO185" s="72">
        <f>(C185+2*D185)*E185*$C$6</f>
        <v>0.75009999999999999</v>
      </c>
      <c r="AP185" s="72">
        <f>(C185+2*D185)*E185*F185</f>
        <v>0.86549999999999971</v>
      </c>
    </row>
    <row r="186" spans="1:50" s="72" customFormat="1" ht="16.5" x14ac:dyDescent="0.45">
      <c r="A186" s="93"/>
      <c r="B186" s="56" t="s">
        <v>238</v>
      </c>
      <c r="C186" s="72">
        <v>2.4900000000000002</v>
      </c>
      <c r="D186" s="72">
        <v>1.4</v>
      </c>
      <c r="E186" s="56">
        <v>1</v>
      </c>
      <c r="F186" s="72">
        <f t="shared" si="4"/>
        <v>0.14999999999999997</v>
      </c>
      <c r="AO186" s="72">
        <f>(C186+2*D186)*E186*$C$6</f>
        <v>0.68769999999999998</v>
      </c>
      <c r="AP186" s="72">
        <f>(C186+2*D186)*E186*F186</f>
        <v>0.79349999999999987</v>
      </c>
    </row>
    <row r="187" spans="1:50" s="72" customFormat="1" x14ac:dyDescent="0.35">
      <c r="A187" s="93">
        <f>'Popis del_fasada'!A149</f>
        <v>5</v>
      </c>
      <c r="B187" s="69" t="s">
        <v>120</v>
      </c>
      <c r="C187" s="72">
        <f>0.15+9.32+0.15</f>
        <v>9.620000000000001</v>
      </c>
      <c r="D187" s="72">
        <f>(11.21+7.94)/2</f>
        <v>9.5750000000000011</v>
      </c>
      <c r="E187" s="56"/>
      <c r="AO187" s="72">
        <f>C187*D187</f>
        <v>92.111500000000021</v>
      </c>
    </row>
    <row r="188" spans="1:50" s="72" customFormat="1" x14ac:dyDescent="0.35">
      <c r="A188" s="93">
        <f>'Popis del_fasada'!A151</f>
        <v>6</v>
      </c>
      <c r="B188" s="69" t="s">
        <v>173</v>
      </c>
      <c r="C188" s="72">
        <f>0.25*3.14</f>
        <v>0.78500000000000003</v>
      </c>
      <c r="D188" s="72">
        <v>4</v>
      </c>
      <c r="E188" s="56"/>
      <c r="AQ188" s="72">
        <f>C188*D188</f>
        <v>3.14</v>
      </c>
    </row>
    <row r="189" spans="1:50" s="72" customFormat="1" x14ac:dyDescent="0.35">
      <c r="A189" s="93"/>
      <c r="B189" s="56"/>
      <c r="E189" s="56"/>
    </row>
    <row r="190" spans="1:50" s="72" customFormat="1" x14ac:dyDescent="0.35">
      <c r="A190" s="93"/>
      <c r="B190" s="69" t="str">
        <f>'Popis del_fasada'!B161</f>
        <v>KERAMIČARSKA DELA</v>
      </c>
      <c r="E190" s="56"/>
    </row>
    <row r="191" spans="1:50" s="72" customFormat="1" x14ac:dyDescent="0.35">
      <c r="A191" s="93" t="str">
        <f>'Popis del_fasada'!A163</f>
        <v>1</v>
      </c>
      <c r="B191" s="69" t="s">
        <v>182</v>
      </c>
      <c r="C191" s="72">
        <f>9.02+0.48</f>
        <v>9.5</v>
      </c>
      <c r="D191" s="72">
        <v>1.73</v>
      </c>
      <c r="E191" s="56"/>
      <c r="AW191" s="72">
        <f>C191*D191</f>
        <v>16.434999999999999</v>
      </c>
    </row>
    <row r="192" spans="1:50" s="72" customFormat="1" x14ac:dyDescent="0.35">
      <c r="A192" s="93" t="str">
        <f>'Popis del_fasada'!A165</f>
        <v>2</v>
      </c>
      <c r="B192" s="69" t="s">
        <v>183</v>
      </c>
      <c r="C192" s="72">
        <f>9.02+0.48</f>
        <v>9.5</v>
      </c>
      <c r="E192" s="56"/>
      <c r="AX192" s="72">
        <f>C192</f>
        <v>9.5</v>
      </c>
    </row>
    <row r="193" spans="1:58" s="72" customFormat="1" x14ac:dyDescent="0.35">
      <c r="A193" s="93" t="str">
        <f>'Popis del_fasada'!A167</f>
        <v>3</v>
      </c>
      <c r="B193" s="69" t="s">
        <v>184</v>
      </c>
      <c r="C193" s="72">
        <f>9.02+0.48</f>
        <v>9.5</v>
      </c>
      <c r="D193" s="72">
        <f>2*1.75</f>
        <v>3.5</v>
      </c>
      <c r="E193" s="56"/>
      <c r="AY193" s="72">
        <f>C193+D193</f>
        <v>13</v>
      </c>
    </row>
    <row r="194" spans="1:58" s="72" customFormat="1" x14ac:dyDescent="0.35">
      <c r="A194" s="93" t="str">
        <f>'Popis del_fasada'!A169</f>
        <v>4</v>
      </c>
      <c r="B194" s="69" t="s">
        <v>185</v>
      </c>
      <c r="C194" s="72">
        <f>1.89+0.96</f>
        <v>2.8499999999999996</v>
      </c>
      <c r="D194" s="72">
        <v>1.53</v>
      </c>
      <c r="E194" s="56"/>
      <c r="AZ194" s="72">
        <f>C194*D194</f>
        <v>4.3604999999999992</v>
      </c>
    </row>
    <row r="195" spans="1:58" s="72" customFormat="1" x14ac:dyDescent="0.35">
      <c r="A195" s="93" t="str">
        <f>'Popis del_fasada'!A171</f>
        <v>5</v>
      </c>
      <c r="B195" s="69" t="s">
        <v>186</v>
      </c>
      <c r="C195" s="72">
        <f>1.89+0.96</f>
        <v>2.8499999999999996</v>
      </c>
      <c r="E195" s="56"/>
      <c r="BA195" s="72">
        <f>C195</f>
        <v>2.8499999999999996</v>
      </c>
    </row>
    <row r="196" spans="1:58" s="72" customFormat="1" x14ac:dyDescent="0.35">
      <c r="A196" s="93" t="str">
        <f>'Popis del_fasada'!A173</f>
        <v>6</v>
      </c>
      <c r="B196" s="69" t="s">
        <v>187</v>
      </c>
      <c r="C196" s="72">
        <v>2.1</v>
      </c>
      <c r="E196" s="56"/>
      <c r="BB196" s="72">
        <f>C196</f>
        <v>2.1</v>
      </c>
    </row>
    <row r="197" spans="1:58" s="72" customFormat="1" x14ac:dyDescent="0.35">
      <c r="A197" s="93"/>
      <c r="B197" s="56"/>
      <c r="E197" s="56"/>
    </row>
    <row r="198" spans="1:58" s="72" customFormat="1" x14ac:dyDescent="0.35">
      <c r="A198" s="93"/>
      <c r="B198" s="70" t="str">
        <f>'Popis del_fasada'!B180</f>
        <v>SLIKOPLESKARSKA DELA</v>
      </c>
      <c r="E198" s="56"/>
    </row>
    <row r="199" spans="1:58" s="72" customFormat="1" x14ac:dyDescent="0.35">
      <c r="A199" s="93">
        <f>'Popis del_fasada'!A182</f>
        <v>1</v>
      </c>
      <c r="B199" s="56" t="s">
        <v>189</v>
      </c>
      <c r="C199" s="72">
        <f>4.26+0.2</f>
        <v>4.46</v>
      </c>
      <c r="D199" s="72">
        <f>1.73+0.3</f>
        <v>2.0299999999999998</v>
      </c>
      <c r="E199" s="56"/>
      <c r="BD199" s="72">
        <f>C199*D199</f>
        <v>9.053799999999999</v>
      </c>
    </row>
    <row r="200" spans="1:58" s="72" customFormat="1" x14ac:dyDescent="0.35">
      <c r="A200" s="93">
        <f>'Popis del_fasada'!A188</f>
        <v>4</v>
      </c>
      <c r="B200" s="56" t="s">
        <v>190</v>
      </c>
      <c r="E200" s="56"/>
    </row>
    <row r="201" spans="1:58" s="72" customFormat="1" x14ac:dyDescent="0.35">
      <c r="A201" s="93"/>
      <c r="B201" s="56" t="s">
        <v>191</v>
      </c>
      <c r="C201" s="72">
        <f>6.31</f>
        <v>6.31</v>
      </c>
      <c r="D201" s="72">
        <v>0.8</v>
      </c>
      <c r="E201" s="56">
        <v>4</v>
      </c>
      <c r="BE201" s="72">
        <f>C201*D201*E201</f>
        <v>20.192</v>
      </c>
    </row>
    <row r="202" spans="1:58" s="72" customFormat="1" x14ac:dyDescent="0.35">
      <c r="A202" s="93"/>
      <c r="B202" s="56" t="s">
        <v>192</v>
      </c>
      <c r="C202" s="72">
        <v>12.57</v>
      </c>
      <c r="D202" s="72">
        <v>0.8</v>
      </c>
      <c r="E202" s="56">
        <v>2</v>
      </c>
      <c r="BE202" s="72">
        <f>C202*D202*E202</f>
        <v>20.112000000000002</v>
      </c>
    </row>
    <row r="203" spans="1:58" s="72" customFormat="1" x14ac:dyDescent="0.35">
      <c r="A203" s="93">
        <f>'Popis del_fasada'!A190</f>
        <v>5</v>
      </c>
      <c r="B203" s="56" t="s">
        <v>196</v>
      </c>
      <c r="C203" s="72">
        <f>9.052+1.73*2+2.87+2.05</f>
        <v>17.432000000000002</v>
      </c>
      <c r="E203" s="56"/>
      <c r="BF203" s="72">
        <f>C203</f>
        <v>17.432000000000002</v>
      </c>
    </row>
    <row r="204" spans="1:58" s="72" customFormat="1" x14ac:dyDescent="0.35">
      <c r="A204" s="93"/>
      <c r="B204" s="56"/>
      <c r="E204" s="56"/>
    </row>
    <row r="205" spans="1:58" x14ac:dyDescent="0.35">
      <c r="B205" s="94"/>
    </row>
    <row r="206" spans="1:58" x14ac:dyDescent="0.35">
      <c r="B206" s="88" t="s">
        <v>202</v>
      </c>
    </row>
    <row r="207" spans="1:58" x14ac:dyDescent="0.35">
      <c r="B207" s="94"/>
    </row>
    <row r="208" spans="1:58" x14ac:dyDescent="0.35">
      <c r="B208" s="149" t="str">
        <f>'Popis del_fasada'!B84</f>
        <v>ZIDARSKA DELA</v>
      </c>
    </row>
    <row r="209" spans="1:63" x14ac:dyDescent="0.35">
      <c r="A209" s="93">
        <f>'Popis del_fasada'!A113</f>
        <v>14</v>
      </c>
      <c r="B209" s="69" t="s">
        <v>204</v>
      </c>
    </row>
    <row r="210" spans="1:63" x14ac:dyDescent="0.35">
      <c r="C210" s="56">
        <v>4.28</v>
      </c>
      <c r="D210" s="56">
        <v>2.38</v>
      </c>
      <c r="AF210" s="56">
        <f>C210*D210</f>
        <v>10.186400000000001</v>
      </c>
    </row>
    <row r="211" spans="1:63" x14ac:dyDescent="0.35">
      <c r="C211" s="56">
        <v>4.72</v>
      </c>
      <c r="D211" s="56">
        <v>4</v>
      </c>
      <c r="AF211" s="56">
        <f t="shared" ref="AF211:AF213" si="5">C211*D211</f>
        <v>18.88</v>
      </c>
    </row>
    <row r="212" spans="1:63" x14ac:dyDescent="0.35">
      <c r="C212" s="56">
        <v>3.88</v>
      </c>
      <c r="D212" s="56">
        <v>3.85</v>
      </c>
      <c r="AF212" s="56">
        <f t="shared" si="5"/>
        <v>14.938000000000001</v>
      </c>
    </row>
    <row r="213" spans="1:63" x14ac:dyDescent="0.35">
      <c r="C213" s="56">
        <v>3.85</v>
      </c>
      <c r="D213" s="56">
        <v>2.81</v>
      </c>
      <c r="AF213" s="56">
        <f t="shared" si="5"/>
        <v>10.8185</v>
      </c>
    </row>
    <row r="214" spans="1:63" x14ac:dyDescent="0.35">
      <c r="B214" s="70"/>
      <c r="E214" s="56">
        <v>3.9</v>
      </c>
      <c r="AF214" s="56">
        <f>E214</f>
        <v>3.9</v>
      </c>
    </row>
    <row r="215" spans="1:63" x14ac:dyDescent="0.35">
      <c r="B215" s="69"/>
      <c r="E215" s="56">
        <v>19.64</v>
      </c>
      <c r="AF215" s="56">
        <f t="shared" ref="AF215:AF216" si="6">E215</f>
        <v>19.64</v>
      </c>
    </row>
    <row r="216" spans="1:63" x14ac:dyDescent="0.35">
      <c r="E216" s="56">
        <v>2.87</v>
      </c>
      <c r="AF216" s="56">
        <f t="shared" si="6"/>
        <v>2.87</v>
      </c>
    </row>
    <row r="218" spans="1:63" x14ac:dyDescent="0.35">
      <c r="B218" s="94"/>
    </row>
    <row r="219" spans="1:63" s="70" customFormat="1" x14ac:dyDescent="0.35">
      <c r="A219" s="93"/>
      <c r="D219" s="95" t="s">
        <v>2</v>
      </c>
      <c r="E219" s="96"/>
      <c r="F219" s="96"/>
      <c r="G219" s="96"/>
      <c r="H219" s="97">
        <f>ROUND(SUM(H3:H218)*$C$7,2)</f>
        <v>7.54</v>
      </c>
      <c r="I219" s="97">
        <f>ROUND(SUM(I3:I218)*$C$7,2)</f>
        <v>9.27</v>
      </c>
      <c r="J219" s="97">
        <f>ROUND(SUM(J3:J218),2)</f>
        <v>2</v>
      </c>
      <c r="K219" s="97">
        <f>ROUND(SUM(K3:K218)*$C$7,2)</f>
        <v>11.62</v>
      </c>
      <c r="L219" s="97">
        <f>ROUND(SUM(L3:L218),2)</f>
        <v>7</v>
      </c>
      <c r="M219" s="97">
        <f>ROUND(SUM(M3:M218),2)</f>
        <v>12.35</v>
      </c>
      <c r="N219" s="97">
        <f>ROUND(SUM(N3:N218),2)</f>
        <v>7.56</v>
      </c>
      <c r="O219" s="97">
        <f>ROUND(SUM(O3:O218)*$C$7,2)</f>
        <v>17.329999999999998</v>
      </c>
      <c r="P219" s="97">
        <f>ROUND(SUM(P3:P218)*$C$7,2)</f>
        <v>13.57</v>
      </c>
      <c r="Q219" s="97">
        <f>ROUND(SUM(Q3:Q218)*$C$7,2)</f>
        <v>0</v>
      </c>
      <c r="R219" s="97">
        <f>ROUND(SUM(R3:R218),2)</f>
        <v>0</v>
      </c>
      <c r="S219" s="187">
        <f>ROUND(SUM(S3:S218)*$C$7,2)</f>
        <v>13.43</v>
      </c>
      <c r="T219" s="187">
        <f>ROUND(SUM(T3:T218)*$C$7,2)</f>
        <v>2.71</v>
      </c>
      <c r="U219" s="187">
        <f>ROUND(SUM(U3:U218)*$C$7,2)</f>
        <v>8.8800000000000008</v>
      </c>
      <c r="V219" s="97">
        <f>ROUND(SUM(V3:V218),2)</f>
        <v>0</v>
      </c>
      <c r="W219" s="187">
        <f t="shared" ref="W219:AK219" si="7">ROUND(SUM(W3:W218)*$C$7,2)</f>
        <v>40.82</v>
      </c>
      <c r="X219" s="187">
        <f t="shared" si="7"/>
        <v>346.86</v>
      </c>
      <c r="Y219" s="187">
        <f t="shared" si="7"/>
        <v>21.24</v>
      </c>
      <c r="Z219" s="187">
        <f t="shared" si="7"/>
        <v>20.25</v>
      </c>
      <c r="AA219" s="97">
        <f t="shared" si="7"/>
        <v>10.84</v>
      </c>
      <c r="AB219" s="97">
        <f t="shared" si="7"/>
        <v>25.45</v>
      </c>
      <c r="AC219" s="97">
        <f t="shared" si="7"/>
        <v>7.53</v>
      </c>
      <c r="AD219" s="97">
        <f t="shared" si="7"/>
        <v>13.57</v>
      </c>
      <c r="AE219" s="97">
        <f t="shared" si="7"/>
        <v>8.32</v>
      </c>
      <c r="AF219" s="97">
        <f t="shared" si="7"/>
        <v>85.29</v>
      </c>
      <c r="AG219" s="97">
        <f t="shared" si="7"/>
        <v>0</v>
      </c>
      <c r="AH219" s="97">
        <f t="shared" si="7"/>
        <v>0</v>
      </c>
      <c r="AI219" s="187">
        <f t="shared" si="7"/>
        <v>460.77</v>
      </c>
      <c r="AJ219" s="187">
        <f t="shared" si="7"/>
        <v>2.42</v>
      </c>
      <c r="AK219" s="187">
        <f t="shared" si="7"/>
        <v>0</v>
      </c>
      <c r="AL219" s="97">
        <f>ROUND(SUM(AL3:AL218),2)</f>
        <v>0</v>
      </c>
      <c r="AM219" s="187">
        <f t="shared" ref="AM219:BK219" si="8">ROUND(SUM(AM3:AM218)*$C$7,2)</f>
        <v>56.16</v>
      </c>
      <c r="AN219" s="187">
        <f t="shared" si="8"/>
        <v>313.36</v>
      </c>
      <c r="AO219" s="187">
        <f t="shared" si="8"/>
        <v>105.75</v>
      </c>
      <c r="AP219" s="187">
        <f t="shared" si="8"/>
        <v>312.27</v>
      </c>
      <c r="AQ219" s="187">
        <f t="shared" si="8"/>
        <v>5.08</v>
      </c>
      <c r="AR219" s="187">
        <f t="shared" si="8"/>
        <v>0</v>
      </c>
      <c r="AS219" s="187">
        <f t="shared" si="8"/>
        <v>0</v>
      </c>
      <c r="AT219" s="187">
        <f t="shared" si="8"/>
        <v>17.329999999999998</v>
      </c>
      <c r="AU219" s="187">
        <f t="shared" si="8"/>
        <v>0</v>
      </c>
      <c r="AV219" s="187">
        <f t="shared" si="8"/>
        <v>0</v>
      </c>
      <c r="AW219" s="187">
        <f t="shared" si="8"/>
        <v>17.260000000000002</v>
      </c>
      <c r="AX219" s="187">
        <f t="shared" si="8"/>
        <v>9.98</v>
      </c>
      <c r="AY219" s="187">
        <f t="shared" si="8"/>
        <v>13.65</v>
      </c>
      <c r="AZ219" s="187">
        <f t="shared" si="8"/>
        <v>4.58</v>
      </c>
      <c r="BA219" s="187">
        <f t="shared" si="8"/>
        <v>2.99</v>
      </c>
      <c r="BB219" s="187">
        <f t="shared" si="8"/>
        <v>2.21</v>
      </c>
      <c r="BC219" s="187">
        <f t="shared" si="8"/>
        <v>0</v>
      </c>
      <c r="BD219" s="187">
        <f t="shared" si="8"/>
        <v>9.51</v>
      </c>
      <c r="BE219" s="187">
        <f t="shared" si="8"/>
        <v>42.32</v>
      </c>
      <c r="BF219" s="187">
        <f t="shared" si="8"/>
        <v>18.3</v>
      </c>
      <c r="BG219" s="187">
        <f t="shared" si="8"/>
        <v>0</v>
      </c>
      <c r="BH219" s="187">
        <f t="shared" si="8"/>
        <v>0</v>
      </c>
      <c r="BI219" s="187">
        <f>ROUND(SUM(BI3:BI218),2)</f>
        <v>15</v>
      </c>
      <c r="BJ219" s="187">
        <f t="shared" si="8"/>
        <v>0</v>
      </c>
      <c r="BK219" s="187">
        <f t="shared" si="8"/>
        <v>0</v>
      </c>
    </row>
    <row r="231" spans="20:20" x14ac:dyDescent="0.35">
      <c r="T231" s="188"/>
    </row>
    <row r="232" spans="20:20" x14ac:dyDescent="0.35">
      <c r="T232" s="188"/>
    </row>
    <row r="233" spans="20:20" x14ac:dyDescent="0.35">
      <c r="T233" s="188"/>
    </row>
    <row r="234" spans="20:20" x14ac:dyDescent="0.35">
      <c r="T234" s="188"/>
    </row>
    <row r="235" spans="20:20" x14ac:dyDescent="0.35">
      <c r="T235" s="188"/>
    </row>
    <row r="236" spans="20:20" x14ac:dyDescent="0.35">
      <c r="T236" s="188"/>
    </row>
    <row r="237" spans="20:20" x14ac:dyDescent="0.35">
      <c r="T237" s="188"/>
    </row>
    <row r="238" spans="20:20" x14ac:dyDescent="0.35">
      <c r="T238" s="188"/>
    </row>
  </sheetData>
  <mergeCells count="10">
    <mergeCell ref="BI2:BK2"/>
    <mergeCell ref="AT2:AU2"/>
    <mergeCell ref="BD2:BG2"/>
    <mergeCell ref="A1:B1"/>
    <mergeCell ref="AM2:AR2"/>
    <mergeCell ref="S2:U2"/>
    <mergeCell ref="W2:AG2"/>
    <mergeCell ref="AW2:BB2"/>
    <mergeCell ref="H2:Q2"/>
    <mergeCell ref="AI2:AK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0"/>
  <sheetViews>
    <sheetView topLeftCell="A31" workbookViewId="0">
      <selection activeCell="E66" sqref="E66"/>
    </sheetView>
  </sheetViews>
  <sheetFormatPr defaultColWidth="9.1796875" defaultRowHeight="14.5" x14ac:dyDescent="0.35"/>
  <cols>
    <col min="1" max="1" width="9.1796875" style="67"/>
    <col min="2" max="2" width="30.1796875" style="49" bestFit="1" customWidth="1"/>
    <col min="3" max="3" width="16.7265625" style="60" bestFit="1" customWidth="1"/>
    <col min="4" max="4" width="22.7265625" style="60" bestFit="1" customWidth="1"/>
    <col min="5" max="5" width="16.26953125" style="60" bestFit="1" customWidth="1"/>
    <col min="6" max="7" width="9.1796875" style="60"/>
    <col min="8" max="10" width="9.1796875" style="49"/>
    <col min="11" max="11" width="22.54296875" style="49" customWidth="1"/>
    <col min="12" max="16384" width="9.1796875" style="49"/>
  </cols>
  <sheetData>
    <row r="2" spans="1:5" x14ac:dyDescent="0.35">
      <c r="C2" s="60" t="s">
        <v>47</v>
      </c>
      <c r="D2" s="60" t="s">
        <v>89</v>
      </c>
      <c r="E2" s="60" t="s">
        <v>48</v>
      </c>
    </row>
    <row r="5" spans="1:5" x14ac:dyDescent="0.35">
      <c r="A5" s="50">
        <v>1</v>
      </c>
      <c r="B5" s="48" t="s">
        <v>87</v>
      </c>
      <c r="C5" s="61">
        <f>SUM(C6:C8)</f>
        <v>214.35455999999999</v>
      </c>
      <c r="D5" s="61"/>
      <c r="E5" s="61">
        <f>C5*0.8</f>
        <v>171.48364800000002</v>
      </c>
    </row>
    <row r="6" spans="1:5" x14ac:dyDescent="0.35">
      <c r="C6" s="60">
        <f>(9.48*7.99)*2.05</f>
        <v>155.27766</v>
      </c>
    </row>
    <row r="7" spans="1:5" x14ac:dyDescent="0.35">
      <c r="C7" s="60">
        <f>(5.58*4.58)*2.05</f>
        <v>52.390619999999998</v>
      </c>
    </row>
    <row r="8" spans="1:5" x14ac:dyDescent="0.35">
      <c r="C8" s="60">
        <f>(2.16*1.51)*2.05</f>
        <v>6.6862799999999991</v>
      </c>
    </row>
    <row r="10" spans="1:5" x14ac:dyDescent="0.35">
      <c r="A10" s="50">
        <v>2</v>
      </c>
      <c r="B10" s="48" t="s">
        <v>46</v>
      </c>
      <c r="C10" s="61">
        <f>SUM(C11:C26)</f>
        <v>124.92080000000001</v>
      </c>
      <c r="D10" s="61">
        <f>SUM(D11:D21)</f>
        <v>80.589999999999989</v>
      </c>
      <c r="E10" s="61">
        <f>E9*2.64</f>
        <v>0</v>
      </c>
    </row>
    <row r="11" spans="1:5" x14ac:dyDescent="0.35">
      <c r="A11" s="50"/>
      <c r="B11" s="48"/>
      <c r="C11" s="60">
        <f>(12.4*9.48)</f>
        <v>117.55200000000001</v>
      </c>
      <c r="D11" s="60">
        <v>4.7</v>
      </c>
      <c r="E11" s="61"/>
    </row>
    <row r="12" spans="1:5" x14ac:dyDescent="0.35">
      <c r="A12" s="50"/>
      <c r="B12" s="48"/>
      <c r="C12" s="60">
        <f>(4.88*1.51)</f>
        <v>7.3688000000000002</v>
      </c>
      <c r="D12" s="60">
        <v>2.5499999999999998</v>
      </c>
      <c r="E12" s="61"/>
    </row>
    <row r="13" spans="1:5" x14ac:dyDescent="0.35">
      <c r="A13" s="50"/>
      <c r="B13" s="48"/>
      <c r="D13" s="60">
        <v>7.5</v>
      </c>
      <c r="E13" s="61"/>
    </row>
    <row r="14" spans="1:5" x14ac:dyDescent="0.35">
      <c r="A14" s="50"/>
      <c r="B14" s="48"/>
      <c r="D14" s="60">
        <v>0.9</v>
      </c>
      <c r="E14" s="61"/>
    </row>
    <row r="15" spans="1:5" x14ac:dyDescent="0.35">
      <c r="A15" s="50"/>
      <c r="B15" s="48"/>
      <c r="D15" s="60">
        <v>4.5</v>
      </c>
      <c r="E15" s="61"/>
    </row>
    <row r="16" spans="1:5" x14ac:dyDescent="0.35">
      <c r="A16" s="50"/>
      <c r="B16" s="48"/>
      <c r="D16" s="60">
        <v>19.95</v>
      </c>
      <c r="E16" s="61"/>
    </row>
    <row r="17" spans="1:5" x14ac:dyDescent="0.35">
      <c r="A17" s="50"/>
      <c r="B17" s="48"/>
      <c r="D17" s="60">
        <v>13.95</v>
      </c>
      <c r="E17" s="61"/>
    </row>
    <row r="18" spans="1:5" x14ac:dyDescent="0.35">
      <c r="A18" s="50"/>
      <c r="B18" s="48"/>
      <c r="D18" s="60">
        <v>15.52</v>
      </c>
      <c r="E18" s="61"/>
    </row>
    <row r="19" spans="1:5" x14ac:dyDescent="0.35">
      <c r="A19" s="50"/>
      <c r="B19" s="48"/>
      <c r="D19" s="60">
        <v>11.02</v>
      </c>
      <c r="E19" s="61"/>
    </row>
    <row r="20" spans="1:5" x14ac:dyDescent="0.35">
      <c r="A20" s="50"/>
      <c r="B20" s="48"/>
      <c r="E20" s="61"/>
    </row>
    <row r="21" spans="1:5" x14ac:dyDescent="0.35">
      <c r="A21" s="50"/>
      <c r="B21" s="48"/>
      <c r="E21" s="61"/>
    </row>
    <row r="22" spans="1:5" x14ac:dyDescent="0.35">
      <c r="A22" s="50"/>
      <c r="B22" s="48"/>
      <c r="E22" s="61"/>
    </row>
    <row r="23" spans="1:5" x14ac:dyDescent="0.35">
      <c r="A23" s="50"/>
      <c r="B23" s="48"/>
      <c r="E23" s="61"/>
    </row>
    <row r="24" spans="1:5" x14ac:dyDescent="0.35">
      <c r="A24" s="50"/>
      <c r="B24" s="48"/>
      <c r="E24" s="61"/>
    </row>
    <row r="25" spans="1:5" x14ac:dyDescent="0.35">
      <c r="A25" s="50"/>
      <c r="B25" s="48"/>
      <c r="E25" s="61"/>
    </row>
    <row r="26" spans="1:5" x14ac:dyDescent="0.35">
      <c r="A26" s="50"/>
      <c r="B26" s="48"/>
      <c r="C26" s="61"/>
      <c r="D26" s="61"/>
      <c r="E26" s="61"/>
    </row>
    <row r="27" spans="1:5" x14ac:dyDescent="0.35">
      <c r="A27" s="50">
        <v>3</v>
      </c>
      <c r="B27" s="48" t="s">
        <v>49</v>
      </c>
      <c r="C27" s="61">
        <f>SUM(C28:C28)</f>
        <v>274.61095200000005</v>
      </c>
      <c r="D27" s="61"/>
      <c r="E27" s="61">
        <f>E10</f>
        <v>0</v>
      </c>
    </row>
    <row r="28" spans="1:5" x14ac:dyDescent="0.35">
      <c r="A28" s="50"/>
      <c r="B28" s="48"/>
      <c r="C28" s="60">
        <f>(10.89*9.48)*2.66</f>
        <v>274.61095200000005</v>
      </c>
      <c r="E28" s="61"/>
    </row>
    <row r="29" spans="1:5" x14ac:dyDescent="0.35">
      <c r="A29" s="50"/>
      <c r="B29" s="48"/>
      <c r="C29" s="61"/>
      <c r="D29" s="61"/>
      <c r="E29" s="61"/>
    </row>
    <row r="30" spans="1:5" x14ac:dyDescent="0.35">
      <c r="A30" s="50">
        <v>4</v>
      </c>
      <c r="B30" s="48" t="s">
        <v>88</v>
      </c>
      <c r="C30" s="61">
        <f>SUM(C31:C31)</f>
        <v>169.82519400000004</v>
      </c>
      <c r="D30" s="61"/>
      <c r="E30" s="61">
        <f>E26</f>
        <v>0</v>
      </c>
    </row>
    <row r="31" spans="1:5" x14ac:dyDescent="0.35">
      <c r="A31" s="50"/>
      <c r="B31" s="48"/>
      <c r="C31" s="60">
        <f>(10.89*9.48)*(3.29/2)</f>
        <v>169.82519400000004</v>
      </c>
      <c r="E31" s="61"/>
    </row>
    <row r="33" spans="1:6" x14ac:dyDescent="0.35">
      <c r="B33" s="62" t="s">
        <v>50</v>
      </c>
      <c r="C33" s="63">
        <f>C10+C27+C30</f>
        <v>569.35694600000011</v>
      </c>
      <c r="D33" s="63">
        <f>D10+D27+D30</f>
        <v>80.589999999999989</v>
      </c>
      <c r="E33" s="64">
        <f>C33*0.8</f>
        <v>455.4855568000001</v>
      </c>
    </row>
    <row r="35" spans="1:6" x14ac:dyDescent="0.35">
      <c r="C35" s="65" t="s">
        <v>51</v>
      </c>
      <c r="D35" s="63"/>
      <c r="E35" s="66"/>
    </row>
    <row r="38" spans="1:6" x14ac:dyDescent="0.35">
      <c r="A38" s="50" t="s">
        <v>53</v>
      </c>
      <c r="B38" s="48" t="s">
        <v>52</v>
      </c>
      <c r="C38" s="68" t="s">
        <v>44</v>
      </c>
      <c r="D38" s="68" t="s">
        <v>43</v>
      </c>
      <c r="E38" s="136" t="s">
        <v>90</v>
      </c>
    </row>
    <row r="39" spans="1:6" x14ac:dyDescent="0.35">
      <c r="B39" s="49" t="s">
        <v>55</v>
      </c>
    </row>
    <row r="41" spans="1:6" x14ac:dyDescent="0.35">
      <c r="F41" s="61"/>
    </row>
    <row r="42" spans="1:6" x14ac:dyDescent="0.35">
      <c r="F42" s="61"/>
    </row>
    <row r="43" spans="1:6" x14ac:dyDescent="0.35">
      <c r="B43" s="49" t="s">
        <v>56</v>
      </c>
      <c r="C43" s="60">
        <v>9.32</v>
      </c>
      <c r="D43" s="60">
        <v>6.88</v>
      </c>
      <c r="E43" s="60">
        <f>C43*D43</f>
        <v>64.121600000000001</v>
      </c>
      <c r="F43" s="61"/>
    </row>
    <row r="44" spans="1:6" x14ac:dyDescent="0.35">
      <c r="C44" s="60">
        <f>9.32/2</f>
        <v>4.66</v>
      </c>
      <c r="D44" s="60">
        <v>3.26</v>
      </c>
      <c r="E44" s="60">
        <f>C44*D44</f>
        <v>15.191599999999999</v>
      </c>
    </row>
    <row r="46" spans="1:6" x14ac:dyDescent="0.35">
      <c r="E46" s="61">
        <f>SUM(E43:E45)</f>
        <v>79.313199999999995</v>
      </c>
    </row>
    <row r="48" spans="1:6" x14ac:dyDescent="0.35">
      <c r="B48" s="49" t="s">
        <v>69</v>
      </c>
      <c r="C48" s="60">
        <v>11.03</v>
      </c>
      <c r="D48" s="60">
        <v>6.88</v>
      </c>
      <c r="E48" s="61">
        <f>C48*D48</f>
        <v>75.886399999999995</v>
      </c>
      <c r="F48" s="61"/>
    </row>
    <row r="49" spans="1:11" x14ac:dyDescent="0.35">
      <c r="K49" s="133" t="s">
        <v>84</v>
      </c>
    </row>
    <row r="51" spans="1:11" x14ac:dyDescent="0.35">
      <c r="B51" s="49" t="s">
        <v>91</v>
      </c>
      <c r="E51" s="61">
        <f>3.3*1.53+E46</f>
        <v>84.362200000000001</v>
      </c>
      <c r="K51" s="49">
        <v>3.5999999999999997E-2</v>
      </c>
    </row>
    <row r="52" spans="1:11" x14ac:dyDescent="0.35">
      <c r="K52" s="49">
        <v>0.14000000000000001</v>
      </c>
    </row>
    <row r="53" spans="1:11" x14ac:dyDescent="0.35">
      <c r="K53" s="134">
        <f>K51/K52</f>
        <v>0.25714285714285712</v>
      </c>
    </row>
    <row r="55" spans="1:11" x14ac:dyDescent="0.35">
      <c r="C55" s="60">
        <v>41.19</v>
      </c>
      <c r="K55" s="49">
        <v>3.5999999999999997E-2</v>
      </c>
    </row>
    <row r="56" spans="1:11" x14ac:dyDescent="0.35">
      <c r="C56" s="60">
        <v>14.59</v>
      </c>
      <c r="K56" s="49">
        <v>0.14000000000000001</v>
      </c>
    </row>
    <row r="57" spans="1:11" x14ac:dyDescent="0.35">
      <c r="C57" s="60">
        <v>41.19</v>
      </c>
      <c r="K57" s="134">
        <f>K55/K56</f>
        <v>0.25714285714285712</v>
      </c>
    </row>
    <row r="58" spans="1:11" x14ac:dyDescent="0.35">
      <c r="B58" s="60">
        <f>18.82</f>
        <v>18.82</v>
      </c>
      <c r="C58" s="60">
        <f>SUM(C55:C57)</f>
        <v>96.97</v>
      </c>
      <c r="E58" s="60">
        <f>B58*C58</f>
        <v>1824.9754</v>
      </c>
    </row>
    <row r="60" spans="1:11" x14ac:dyDescent="0.35">
      <c r="A60" s="50" t="s">
        <v>63</v>
      </c>
      <c r="B60" s="48" t="s">
        <v>64</v>
      </c>
    </row>
    <row r="61" spans="1:11" x14ac:dyDescent="0.35">
      <c r="B61" s="48" t="s">
        <v>92</v>
      </c>
    </row>
    <row r="62" spans="1:11" ht="16.5" x14ac:dyDescent="0.45">
      <c r="B62" s="55" t="s">
        <v>59</v>
      </c>
      <c r="C62" s="137">
        <f>1.35*1.35*4</f>
        <v>7.2900000000000009</v>
      </c>
      <c r="D62" s="55"/>
      <c r="E62" s="55"/>
      <c r="F62" s="45"/>
    </row>
    <row r="63" spans="1:11" x14ac:dyDescent="0.35">
      <c r="B63" s="55"/>
      <c r="C63" s="55"/>
      <c r="D63" s="55"/>
      <c r="E63" s="55"/>
      <c r="F63" s="45"/>
    </row>
    <row r="64" spans="1:11" x14ac:dyDescent="0.35">
      <c r="B64" s="55"/>
      <c r="C64" s="55" t="s">
        <v>93</v>
      </c>
      <c r="D64" s="55">
        <v>0.7</v>
      </c>
      <c r="E64" s="55">
        <f>D64*0.85</f>
        <v>0.59499999999999997</v>
      </c>
      <c r="F64" s="45"/>
    </row>
    <row r="65" spans="2:7" x14ac:dyDescent="0.35">
      <c r="B65" s="55"/>
      <c r="C65" s="55" t="s">
        <v>94</v>
      </c>
      <c r="D65" s="55">
        <v>0.9</v>
      </c>
      <c r="E65" s="55">
        <f>D65*0.15</f>
        <v>0.13500000000000001</v>
      </c>
      <c r="F65" s="45"/>
    </row>
    <row r="66" spans="2:7" x14ac:dyDescent="0.35">
      <c r="B66" s="55"/>
      <c r="C66" s="55"/>
      <c r="D66" s="55"/>
      <c r="E66" s="55">
        <f>SUM(E64:E65)</f>
        <v>0.73</v>
      </c>
      <c r="F66" s="45"/>
    </row>
    <row r="68" spans="2:7" x14ac:dyDescent="0.35">
      <c r="G68" s="61">
        <f>SUM(G62:G67)</f>
        <v>0</v>
      </c>
    </row>
    <row r="69" spans="2:7" x14ac:dyDescent="0.35">
      <c r="B69" s="62" t="s">
        <v>65</v>
      </c>
      <c r="C69" s="63"/>
      <c r="D69" s="63"/>
      <c r="E69" s="63"/>
      <c r="F69" s="63"/>
      <c r="G69" s="64"/>
    </row>
    <row r="71" spans="2:7" x14ac:dyDescent="0.35">
      <c r="B71" s="48" t="s">
        <v>77</v>
      </c>
    </row>
    <row r="73" spans="2:7" ht="16.5" x14ac:dyDescent="0.45">
      <c r="B73" s="55" t="s">
        <v>59</v>
      </c>
      <c r="C73" s="55">
        <f>1.86-2*0.02</f>
        <v>1.82</v>
      </c>
      <c r="D73" s="55"/>
      <c r="E73" s="55">
        <f>1.67-2*0.02</f>
        <v>1.63</v>
      </c>
      <c r="F73" s="45">
        <f>5+1</f>
        <v>6</v>
      </c>
      <c r="G73" s="60">
        <f>C73*E73*F73</f>
        <v>17.799600000000002</v>
      </c>
    </row>
    <row r="74" spans="2:7" ht="16.5" x14ac:dyDescent="0.45">
      <c r="B74" s="55" t="s">
        <v>61</v>
      </c>
      <c r="C74" s="55">
        <f>1.46-2*0.02</f>
        <v>1.42</v>
      </c>
      <c r="D74" s="55"/>
      <c r="E74" s="55">
        <f>1.67-2*0.02</f>
        <v>1.63</v>
      </c>
      <c r="F74" s="45">
        <v>5</v>
      </c>
      <c r="G74" s="60">
        <f t="shared" ref="G74:G75" si="0">C74*E74*F74</f>
        <v>11.572999999999997</v>
      </c>
    </row>
    <row r="75" spans="2:7" ht="16.5" x14ac:dyDescent="0.45">
      <c r="B75" s="55" t="s">
        <v>62</v>
      </c>
      <c r="C75" s="55">
        <f>1.06-2*0.02</f>
        <v>1.02</v>
      </c>
      <c r="D75" s="55"/>
      <c r="E75" s="55">
        <f>1.67-2*0.02</f>
        <v>1.63</v>
      </c>
      <c r="F75" s="45">
        <f>1*5+2</f>
        <v>7</v>
      </c>
      <c r="G75" s="60">
        <f t="shared" si="0"/>
        <v>11.638199999999999</v>
      </c>
    </row>
    <row r="76" spans="2:7" ht="16.5" x14ac:dyDescent="0.45">
      <c r="B76" s="55" t="s">
        <v>67</v>
      </c>
      <c r="C76" s="60">
        <f>0.66-2*0.02</f>
        <v>0.62</v>
      </c>
      <c r="E76" s="60">
        <f>0.66-2*0.02</f>
        <v>0.62</v>
      </c>
      <c r="F76" s="45">
        <f>1*5</f>
        <v>5</v>
      </c>
      <c r="G76" s="60">
        <f t="shared" ref="G76:G77" si="1">C76*E76*F76</f>
        <v>1.9220000000000002</v>
      </c>
    </row>
    <row r="77" spans="2:7" ht="16.5" x14ac:dyDescent="0.45">
      <c r="B77" s="55" t="s">
        <v>68</v>
      </c>
      <c r="C77" s="60">
        <v>2.1</v>
      </c>
      <c r="E77" s="60">
        <v>2.46</v>
      </c>
      <c r="F77" s="45">
        <v>5</v>
      </c>
      <c r="G77" s="60">
        <f t="shared" si="1"/>
        <v>25.830000000000002</v>
      </c>
    </row>
    <row r="78" spans="2:7" x14ac:dyDescent="0.35">
      <c r="B78" s="55"/>
      <c r="F78" s="45"/>
    </row>
    <row r="79" spans="2:7" x14ac:dyDescent="0.35">
      <c r="G79" s="61">
        <f>SUM(G72:G78)</f>
        <v>68.762799999999999</v>
      </c>
    </row>
    <row r="80" spans="2:7" x14ac:dyDescent="0.35">
      <c r="B80" s="62" t="s">
        <v>65</v>
      </c>
      <c r="C80" s="63"/>
      <c r="D80" s="63"/>
      <c r="E80" s="63"/>
      <c r="F80" s="63"/>
      <c r="G80" s="64" t="e">
        <f>1-(G79/F41)</f>
        <v>#DIV/0!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Popis del_fasada</vt:lpstr>
      <vt:lpstr>Izračuni_pred izmere</vt:lpstr>
      <vt:lpstr>Karakteristike objekta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Valburga 62, Smlednik</dc:title>
  <dc:creator>sparrow</dc:creator>
  <cp:lastModifiedBy>ekona</cp:lastModifiedBy>
  <cp:lastPrinted>2017-07-07T21:03:12Z</cp:lastPrinted>
  <dcterms:created xsi:type="dcterms:W3CDTF">2010-05-19T21:12:42Z</dcterms:created>
  <dcterms:modified xsi:type="dcterms:W3CDTF">2018-05-16T15:05:39Z</dcterms:modified>
</cp:coreProperties>
</file>