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Objects="none" defaultThemeVersion="124226"/>
  <mc:AlternateContent xmlns:mc="http://schemas.openxmlformats.org/markup-compatibility/2006">
    <mc:Choice Requires="x15">
      <x15ac:absPath xmlns:x15ac="http://schemas.microsoft.com/office/spreadsheetml/2010/11/ac" url="C:\Users\ekona\Desktop\"/>
    </mc:Choice>
  </mc:AlternateContent>
  <workbookProtection workbookPassword="E542" lockStructure="1"/>
  <bookViews>
    <workbookView xWindow="0" yWindow="0" windowWidth="38400" windowHeight="17970" tabRatio="989"/>
  </bookViews>
  <sheets>
    <sheet name="Popis del_fasada" sheetId="4" r:id="rId1"/>
    <sheet name="Izračuni_pred izmere" sheetId="5" state="hidden" r:id="rId2"/>
    <sheet name="Karakteristike objekta" sheetId="14" state="hidden" r:id="rId3"/>
  </sheets>
  <definedNames>
    <definedName name="_xlnm.Print_Area" localSheetId="0">'Popis del_fasada'!$A$4:$H$291</definedName>
  </definedNames>
  <calcPr calcId="162913"/>
</workbook>
</file>

<file path=xl/calcChain.xml><?xml version="1.0" encoding="utf-8"?>
<calcChain xmlns="http://schemas.openxmlformats.org/spreadsheetml/2006/main">
  <c r="G291" i="4" l="1"/>
  <c r="G17" i="4" s="1"/>
  <c r="G151" i="4"/>
  <c r="G138" i="4"/>
  <c r="G121" i="4"/>
  <c r="G195" i="4" l="1"/>
  <c r="B17" i="4" l="1"/>
  <c r="A17" i="4"/>
  <c r="F289" i="4"/>
  <c r="F281" i="4"/>
  <c r="F260" i="4"/>
  <c r="F291" i="4" s="1"/>
  <c r="F17" i="4" s="1"/>
  <c r="H17" i="4" s="1"/>
  <c r="C285" i="5" l="1"/>
  <c r="AG285" i="5" s="1"/>
  <c r="AG292" i="5" s="1"/>
  <c r="D230" i="4" s="1"/>
  <c r="G230" i="4" s="1"/>
  <c r="AG1" i="5"/>
  <c r="A285" i="5"/>
  <c r="B284" i="5"/>
  <c r="S279" i="5"/>
  <c r="D279" i="5"/>
  <c r="C279" i="5"/>
  <c r="S1" i="5"/>
  <c r="A279" i="5"/>
  <c r="B278" i="5"/>
  <c r="AH1" i="5" l="1"/>
  <c r="D282" i="5"/>
  <c r="C282" i="5"/>
  <c r="AH282" i="5" s="1"/>
  <c r="G228" i="4"/>
  <c r="D190" i="4"/>
  <c r="F190" i="4" s="1"/>
  <c r="F193" i="4"/>
  <c r="F192" i="4"/>
  <c r="BO292" i="5"/>
  <c r="BN292" i="5"/>
  <c r="BE1" i="5"/>
  <c r="BD1" i="5"/>
  <c r="BC1" i="5"/>
  <c r="BI274" i="5"/>
  <c r="C271" i="5"/>
  <c r="AS292" i="5"/>
  <c r="D266" i="5"/>
  <c r="D271" i="5" s="1"/>
  <c r="C266" i="5"/>
  <c r="C265" i="5"/>
  <c r="AN265" i="5" s="1"/>
  <c r="D262" i="5"/>
  <c r="C262" i="5"/>
  <c r="AC259" i="5"/>
  <c r="AC258" i="5"/>
  <c r="AE1" i="5"/>
  <c r="AF1" i="5"/>
  <c r="C251" i="5"/>
  <c r="C252" i="5" s="1"/>
  <c r="X252" i="5" s="1"/>
  <c r="A252" i="5"/>
  <c r="A251" i="5"/>
  <c r="B250" i="5"/>
  <c r="AA256" i="5"/>
  <c r="A256" i="5"/>
  <c r="D255" i="5"/>
  <c r="Z255" i="5" s="1"/>
  <c r="F226" i="4"/>
  <c r="F224" i="4"/>
  <c r="F222" i="4"/>
  <c r="F60" i="4"/>
  <c r="AQ271" i="5" l="1"/>
  <c r="U251" i="5"/>
  <c r="AJ262" i="5"/>
  <c r="AO266" i="5"/>
  <c r="C248" i="5"/>
  <c r="N248" i="5" s="1"/>
  <c r="A248" i="5"/>
  <c r="M247" i="5"/>
  <c r="A247" i="5"/>
  <c r="F56" i="4"/>
  <c r="J246" i="5"/>
  <c r="J245" i="5"/>
  <c r="K246" i="5"/>
  <c r="K245" i="5"/>
  <c r="I245" i="5"/>
  <c r="BR238" i="5" l="1"/>
  <c r="A238" i="5"/>
  <c r="BQ239" i="5"/>
  <c r="A231" i="5"/>
  <c r="A230" i="5"/>
  <c r="A228" i="5"/>
  <c r="A225" i="5"/>
  <c r="A224" i="5"/>
  <c r="A223" i="5"/>
  <c r="A222" i="5"/>
  <c r="A221" i="5"/>
  <c r="A219" i="5"/>
  <c r="B227" i="5"/>
  <c r="BJ236" i="5"/>
  <c r="BJ235" i="5"/>
  <c r="BJ234" i="5"/>
  <c r="BJ233" i="5"/>
  <c r="BJ232" i="5"/>
  <c r="BH231" i="5"/>
  <c r="C230" i="5"/>
  <c r="BI230" i="5" s="1"/>
  <c r="BH229" i="5"/>
  <c r="BH228" i="5"/>
  <c r="BF225" i="5"/>
  <c r="C224" i="5"/>
  <c r="BE224" i="5" s="1"/>
  <c r="C223" i="5"/>
  <c r="BD223" i="5" s="1"/>
  <c r="BC222" i="5"/>
  <c r="BB221" i="5"/>
  <c r="BA220" i="5"/>
  <c r="BA219" i="5"/>
  <c r="B218" i="5"/>
  <c r="AU216" i="5"/>
  <c r="C214" i="5"/>
  <c r="AR214" i="5" s="1"/>
  <c r="C213" i="5"/>
  <c r="AR213" i="5" s="1"/>
  <c r="C211" i="5"/>
  <c r="F205" i="5" l="1"/>
  <c r="AP205" i="5" s="1"/>
  <c r="F206" i="5"/>
  <c r="AP206" i="5" s="1"/>
  <c r="F207" i="5"/>
  <c r="AP207" i="5" s="1"/>
  <c r="F208" i="5"/>
  <c r="AP208" i="5" s="1"/>
  <c r="F209" i="5"/>
  <c r="AP209" i="5" s="1"/>
  <c r="F210" i="5"/>
  <c r="AP210" i="5" s="1"/>
  <c r="D202" i="5"/>
  <c r="D211" i="5" s="1"/>
  <c r="AQ211" i="5" s="1"/>
  <c r="C202" i="5"/>
  <c r="C201" i="5"/>
  <c r="AN201" i="5" s="1"/>
  <c r="A198" i="5"/>
  <c r="A197" i="5"/>
  <c r="A196" i="5"/>
  <c r="AL198" i="5"/>
  <c r="AK197" i="5"/>
  <c r="D196" i="5"/>
  <c r="C196" i="5"/>
  <c r="AD193" i="5"/>
  <c r="C192" i="5"/>
  <c r="AD192" i="5" s="1"/>
  <c r="A192" i="5"/>
  <c r="AC191" i="5"/>
  <c r="AC190" i="5"/>
  <c r="AC189" i="5"/>
  <c r="AC188" i="5"/>
  <c r="AC187" i="5"/>
  <c r="A186" i="5"/>
  <c r="A183" i="5"/>
  <c r="Z181" i="5"/>
  <c r="D185" i="5"/>
  <c r="C185" i="5"/>
  <c r="D184" i="5"/>
  <c r="C184" i="5"/>
  <c r="D183" i="5"/>
  <c r="AB183" i="5" s="1"/>
  <c r="AA182" i="5"/>
  <c r="D179" i="5"/>
  <c r="C179" i="5"/>
  <c r="D178" i="5"/>
  <c r="AE178" i="5" s="1"/>
  <c r="A178" i="5"/>
  <c r="C174" i="5"/>
  <c r="C175" i="5" s="1"/>
  <c r="X175" i="5" s="1"/>
  <c r="AO202" i="5" l="1"/>
  <c r="AJ196" i="5"/>
  <c r="AB185" i="5"/>
  <c r="AE179" i="5"/>
  <c r="AB184" i="5"/>
  <c r="U174" i="5"/>
  <c r="R171" i="5"/>
  <c r="A171" i="5"/>
  <c r="C170" i="5"/>
  <c r="Q170" i="5" s="1"/>
  <c r="A170" i="5"/>
  <c r="D169" i="5"/>
  <c r="C169" i="5"/>
  <c r="A169" i="5"/>
  <c r="C168" i="5"/>
  <c r="N168" i="5" s="1"/>
  <c r="A168" i="5"/>
  <c r="L167" i="5"/>
  <c r="C166" i="5"/>
  <c r="M166" i="5" s="1"/>
  <c r="A166" i="5"/>
  <c r="J165" i="5"/>
  <c r="K163" i="5"/>
  <c r="K162" i="5"/>
  <c r="K161" i="5"/>
  <c r="K160" i="5"/>
  <c r="K159" i="5"/>
  <c r="K59" i="5"/>
  <c r="K58" i="5"/>
  <c r="J163" i="5"/>
  <c r="J164" i="5"/>
  <c r="J162" i="5"/>
  <c r="J161" i="5"/>
  <c r="J160" i="5"/>
  <c r="J159" i="5"/>
  <c r="J59" i="5"/>
  <c r="J58" i="5"/>
  <c r="I160" i="5"/>
  <c r="I159" i="5"/>
  <c r="A158" i="5"/>
  <c r="BH140" i="5"/>
  <c r="C141" i="5"/>
  <c r="BI141" i="5" s="1"/>
  <c r="BI49" i="5"/>
  <c r="BI1" i="5"/>
  <c r="A49" i="5"/>
  <c r="B48" i="5"/>
  <c r="BH139" i="5"/>
  <c r="BH1" i="5"/>
  <c r="BF136" i="5"/>
  <c r="BF292" i="5" s="1"/>
  <c r="D165" i="4" s="1"/>
  <c r="BF1" i="5"/>
  <c r="A136" i="5"/>
  <c r="C135" i="5"/>
  <c r="BE135" i="5" s="1"/>
  <c r="BE292" i="5" s="1"/>
  <c r="A135" i="5"/>
  <c r="C134" i="5"/>
  <c r="BD134" i="5" s="1"/>
  <c r="BD292" i="5" s="1"/>
  <c r="BA131" i="5"/>
  <c r="A134" i="5"/>
  <c r="BC133" i="5"/>
  <c r="BC292" i="5" s="1"/>
  <c r="A133" i="5"/>
  <c r="BB1" i="5"/>
  <c r="BB132" i="5"/>
  <c r="BB292" i="5" s="1"/>
  <c r="A132" i="5"/>
  <c r="BA130" i="5"/>
  <c r="BA1" i="5"/>
  <c r="A130" i="5"/>
  <c r="B129" i="5"/>
  <c r="D89" i="5"/>
  <c r="C89" i="5"/>
  <c r="Q1" i="5"/>
  <c r="C72" i="5"/>
  <c r="Q72" i="5" s="1"/>
  <c r="A72" i="5"/>
  <c r="D71" i="5"/>
  <c r="C71" i="5"/>
  <c r="P1" i="5"/>
  <c r="A71" i="5"/>
  <c r="C127" i="5"/>
  <c r="AX127" i="5" s="1"/>
  <c r="AX292" i="5" s="1"/>
  <c r="D149" i="4" s="1"/>
  <c r="F149" i="4" s="1"/>
  <c r="AX1" i="5"/>
  <c r="A127" i="5"/>
  <c r="AY292" i="5"/>
  <c r="AW126" i="5"/>
  <c r="AW292" i="5" s="1"/>
  <c r="D147" i="4" s="1"/>
  <c r="F147" i="4" s="1"/>
  <c r="AW1" i="5"/>
  <c r="A126" i="5"/>
  <c r="BL292" i="5"/>
  <c r="BK292" i="5"/>
  <c r="BG292" i="5"/>
  <c r="AZ292" i="5"/>
  <c r="C125" i="5"/>
  <c r="D125" i="5"/>
  <c r="AV1" i="5"/>
  <c r="A125" i="5"/>
  <c r="P169" i="5" l="1"/>
  <c r="Q292" i="5"/>
  <c r="D217" i="4" s="1"/>
  <c r="G217" i="4" s="1"/>
  <c r="P71" i="5"/>
  <c r="AV125" i="5"/>
  <c r="AV292" i="5" s="1"/>
  <c r="D145" i="4" s="1"/>
  <c r="F145" i="4" s="1"/>
  <c r="AB89" i="5"/>
  <c r="BA292" i="5"/>
  <c r="P292" i="5" l="1"/>
  <c r="D215" i="4" s="1"/>
  <c r="G215" i="4" s="1"/>
  <c r="D54" i="4"/>
  <c r="G54" i="4" s="1"/>
  <c r="D52" i="4" l="1"/>
  <c r="G52" i="4" s="1"/>
  <c r="BR1" i="5"/>
  <c r="BR151" i="5"/>
  <c r="A151" i="5"/>
  <c r="BJ144" i="5"/>
  <c r="BJ145" i="5"/>
  <c r="BJ146" i="5"/>
  <c r="BJ147" i="5"/>
  <c r="BJ143" i="5"/>
  <c r="BJ1" i="5"/>
  <c r="BQ2" i="5"/>
  <c r="A142" i="5"/>
  <c r="A141" i="5"/>
  <c r="A139" i="5"/>
  <c r="B138" i="5"/>
  <c r="G209" i="4"/>
  <c r="AD99" i="5"/>
  <c r="C98" i="5"/>
  <c r="AD98" i="5" s="1"/>
  <c r="AD1" i="5"/>
  <c r="A98" i="5"/>
  <c r="BJ292" i="5" l="1"/>
  <c r="C120" i="5"/>
  <c r="AR120" i="5" s="1"/>
  <c r="C119" i="5"/>
  <c r="AR119" i="5" s="1"/>
  <c r="AR1" i="5"/>
  <c r="A118" i="5"/>
  <c r="AU124" i="5"/>
  <c r="BH118" i="5"/>
  <c r="C117" i="5"/>
  <c r="F44" i="5"/>
  <c r="AP44" i="5" s="1"/>
  <c r="F116" i="5"/>
  <c r="AP116" i="5" s="1"/>
  <c r="F115" i="5"/>
  <c r="AP115" i="5" s="1"/>
  <c r="F114" i="5"/>
  <c r="AP114" i="5" s="1"/>
  <c r="F113" i="5"/>
  <c r="AP113" i="5" s="1"/>
  <c r="F112" i="5"/>
  <c r="AP112" i="5" s="1"/>
  <c r="F111" i="5"/>
  <c r="AP111" i="5" s="1"/>
  <c r="AO91" i="5"/>
  <c r="C107" i="5"/>
  <c r="D107" i="5"/>
  <c r="D117" i="5" s="1"/>
  <c r="C106" i="5"/>
  <c r="AN106" i="5" s="1"/>
  <c r="AL1" i="5"/>
  <c r="AL103" i="5"/>
  <c r="A103" i="5"/>
  <c r="AK102" i="5"/>
  <c r="AQ117" i="5" l="1"/>
  <c r="AO107" i="5"/>
  <c r="D101" i="5"/>
  <c r="C101" i="5"/>
  <c r="AJ101" i="5" l="1"/>
  <c r="O97" i="5"/>
  <c r="O292" i="5" s="1"/>
  <c r="D50" i="4" s="1"/>
  <c r="G50" i="4" s="1"/>
  <c r="O1" i="5"/>
  <c r="A70" i="5"/>
  <c r="AF97" i="5"/>
  <c r="A96" i="5"/>
  <c r="D83" i="5"/>
  <c r="D82" i="5"/>
  <c r="AE82" i="5" s="1"/>
  <c r="C83" i="5"/>
  <c r="A82" i="5"/>
  <c r="R75" i="5"/>
  <c r="S292" i="5"/>
  <c r="D62" i="4" s="1"/>
  <c r="F62" i="4" s="1"/>
  <c r="R74" i="5"/>
  <c r="R1" i="5"/>
  <c r="A74" i="5"/>
  <c r="AC95" i="5"/>
  <c r="AC94" i="5"/>
  <c r="AC93" i="5"/>
  <c r="AC92" i="5"/>
  <c r="AC91" i="5"/>
  <c r="D88" i="5"/>
  <c r="D87" i="5"/>
  <c r="AB87" i="5" s="1"/>
  <c r="C88" i="5"/>
  <c r="AB1" i="5"/>
  <c r="A87" i="5"/>
  <c r="C86" i="5"/>
  <c r="AA86" i="5" s="1"/>
  <c r="Z85" i="5"/>
  <c r="C79" i="5"/>
  <c r="X79" i="5" s="1"/>
  <c r="C78" i="5"/>
  <c r="U78" i="5" s="1"/>
  <c r="BQ153" i="5"/>
  <c r="BQ292" i="5" s="1"/>
  <c r="AB88" i="5" l="1"/>
  <c r="R292" i="5"/>
  <c r="D58" i="4" s="1"/>
  <c r="AE83" i="5"/>
  <c r="L69" i="5"/>
  <c r="A69" i="5"/>
  <c r="M68" i="5"/>
  <c r="A68" i="5"/>
  <c r="K65" i="5"/>
  <c r="K64" i="5"/>
  <c r="K63" i="5"/>
  <c r="K62" i="5"/>
  <c r="K61" i="5"/>
  <c r="I59" i="5"/>
  <c r="I58" i="5"/>
  <c r="A57" i="5"/>
  <c r="A60" i="5"/>
  <c r="J67" i="5"/>
  <c r="J66" i="5"/>
  <c r="J65" i="5"/>
  <c r="J64" i="5"/>
  <c r="J63" i="5"/>
  <c r="J62" i="5"/>
  <c r="J61" i="5"/>
  <c r="C17" i="5"/>
  <c r="N17" i="5" s="1"/>
  <c r="N292" i="5" s="1"/>
  <c r="D48" i="4" s="1"/>
  <c r="F48" i="4" s="1"/>
  <c r="N1" i="5"/>
  <c r="A17" i="5"/>
  <c r="F74" i="4" l="1"/>
  <c r="D33" i="5" l="1"/>
  <c r="C33" i="5"/>
  <c r="C46" i="5"/>
  <c r="C40" i="5"/>
  <c r="AO43" i="5"/>
  <c r="D40" i="5"/>
  <c r="D46" i="5" s="1"/>
  <c r="AN37" i="5"/>
  <c r="C15" i="5"/>
  <c r="M15" i="5" s="1"/>
  <c r="M292" i="5" s="1"/>
  <c r="D40" i="4" s="1"/>
  <c r="F40" i="4" s="1"/>
  <c r="M1" i="5"/>
  <c r="A15" i="5"/>
  <c r="X1" i="5"/>
  <c r="D22" i="5"/>
  <c r="C22" i="5"/>
  <c r="A22" i="5"/>
  <c r="C21" i="5"/>
  <c r="U21" i="5" s="1"/>
  <c r="U292" i="5" s="1"/>
  <c r="V1" i="5"/>
  <c r="C20" i="5"/>
  <c r="A20" i="5"/>
  <c r="AC30" i="5"/>
  <c r="AC29" i="5"/>
  <c r="E6" i="5"/>
  <c r="AA27" i="5"/>
  <c r="Z2" i="5"/>
  <c r="V20" i="5" l="1"/>
  <c r="V292" i="5" s="1"/>
  <c r="D68" i="4" s="1"/>
  <c r="W20" i="5"/>
  <c r="W292" i="5" s="1"/>
  <c r="D72" i="4" s="1"/>
  <c r="X22" i="5"/>
  <c r="X292" i="5" s="1"/>
  <c r="AO40" i="5"/>
  <c r="AQ46" i="5"/>
  <c r="C6" i="14"/>
  <c r="Z26" i="5"/>
  <c r="Z1" i="5"/>
  <c r="J14" i="5" l="1"/>
  <c r="K14" i="5"/>
  <c r="C52" i="5"/>
  <c r="AU52" i="5" s="1"/>
  <c r="A52" i="5"/>
  <c r="B51" i="5"/>
  <c r="C16" i="5"/>
  <c r="L16" i="5" s="1"/>
  <c r="L1" i="5"/>
  <c r="A16" i="5"/>
  <c r="K13" i="5" l="1"/>
  <c r="F201" i="4"/>
  <c r="F205" i="4" l="1"/>
  <c r="BS292" i="5" l="1"/>
  <c r="BR292" i="5"/>
  <c r="D207" i="4" s="1"/>
  <c r="BP292" i="5"/>
  <c r="BH2" i="5"/>
  <c r="BM2" i="5"/>
  <c r="AU2" i="5"/>
  <c r="AN2" i="5"/>
  <c r="AJ2" i="5"/>
  <c r="AI292" i="5"/>
  <c r="AH292" i="5"/>
  <c r="D103" i="4" s="1"/>
  <c r="F103" i="4" s="1"/>
  <c r="U2" i="5"/>
  <c r="H2" i="5"/>
  <c r="B281" i="5"/>
  <c r="A282" i="5"/>
  <c r="AF292" i="5" l="1"/>
  <c r="D179" i="4"/>
  <c r="G179" i="4" s="1"/>
  <c r="A274" i="5"/>
  <c r="B273" i="5"/>
  <c r="BI292" i="5" l="1"/>
  <c r="D177" i="4" s="1"/>
  <c r="G177" i="4" s="1"/>
  <c r="D97" i="4"/>
  <c r="F97" i="4" s="1"/>
  <c r="AB292" i="5"/>
  <c r="D93" i="4" s="1"/>
  <c r="G93" i="4" s="1"/>
  <c r="G165" i="4"/>
  <c r="D163" i="4"/>
  <c r="G163" i="4" s="1"/>
  <c r="G15" i="4"/>
  <c r="G12" i="4"/>
  <c r="G11" i="4"/>
  <c r="G10" i="4"/>
  <c r="B13" i="4"/>
  <c r="A13" i="4"/>
  <c r="D161" i="4"/>
  <c r="G161" i="4" s="1"/>
  <c r="D157" i="4"/>
  <c r="G157" i="4" s="1"/>
  <c r="AT292" i="5"/>
  <c r="BA2" i="5"/>
  <c r="D155" i="4"/>
  <c r="A271" i="5"/>
  <c r="F269" i="5"/>
  <c r="AP269" i="5" s="1"/>
  <c r="F268" i="5"/>
  <c r="AP268" i="5" s="1"/>
  <c r="A267" i="5"/>
  <c r="A266" i="5"/>
  <c r="A265" i="5"/>
  <c r="B264" i="5"/>
  <c r="A262" i="5"/>
  <c r="B261" i="5"/>
  <c r="D159" i="4" l="1"/>
  <c r="G159" i="4" s="1"/>
  <c r="G155" i="4"/>
  <c r="A257" i="5"/>
  <c r="A255" i="5"/>
  <c r="B254" i="5"/>
  <c r="G58" i="4"/>
  <c r="A244" i="5"/>
  <c r="B243" i="5"/>
  <c r="F167" i="4" l="1"/>
  <c r="F13" i="4" s="1"/>
  <c r="G167" i="4"/>
  <c r="G13" i="4" l="1"/>
  <c r="H13" i="4" s="1"/>
  <c r="A212" i="5"/>
  <c r="A175" i="5"/>
  <c r="A174" i="5"/>
  <c r="B173" i="5"/>
  <c r="A182" i="5"/>
  <c r="A180" i="5"/>
  <c r="A211" i="5"/>
  <c r="F204" i="5"/>
  <c r="AP204" i="5" s="1"/>
  <c r="A203" i="5"/>
  <c r="A202" i="5"/>
  <c r="A201" i="5"/>
  <c r="B195" i="5"/>
  <c r="B200" i="5"/>
  <c r="A90" i="5"/>
  <c r="F191" i="4"/>
  <c r="F110" i="5"/>
  <c r="AP110" i="5" s="1"/>
  <c r="F43" i="5"/>
  <c r="AP43" i="5" s="1"/>
  <c r="A216" i="5"/>
  <c r="B215" i="5"/>
  <c r="B177" i="5"/>
  <c r="A167" i="5" l="1"/>
  <c r="B157" i="5"/>
  <c r="G219" i="4"/>
  <c r="A239" i="5"/>
  <c r="B237" i="5"/>
  <c r="A79" i="5" l="1"/>
  <c r="A78" i="5"/>
  <c r="B77" i="5"/>
  <c r="A86" i="5"/>
  <c r="A117" i="5"/>
  <c r="A109" i="5"/>
  <c r="A107" i="5"/>
  <c r="AN1" i="5"/>
  <c r="A106" i="5"/>
  <c r="B105" i="5"/>
  <c r="A101" i="5"/>
  <c r="B100" i="5"/>
  <c r="A84" i="5"/>
  <c r="B81" i="5"/>
  <c r="J1" i="5"/>
  <c r="F189" i="4"/>
  <c r="G175" i="4" l="1"/>
  <c r="G101" i="4" l="1"/>
  <c r="AU1" i="5" l="1"/>
  <c r="AU292" i="5"/>
  <c r="A124" i="5"/>
  <c r="B123" i="5"/>
  <c r="D143" i="4" l="1"/>
  <c r="L292" i="5"/>
  <c r="D46" i="4" s="1"/>
  <c r="F46" i="4" s="1"/>
  <c r="BQ1" i="5" l="1"/>
  <c r="A153" i="5"/>
  <c r="B149" i="5"/>
  <c r="G211" i="4"/>
  <c r="F44" i="4"/>
  <c r="F42" i="4"/>
  <c r="B56" i="5"/>
  <c r="AC1" i="5"/>
  <c r="A28" i="5"/>
  <c r="AA1" i="5" l="1"/>
  <c r="A27" i="5"/>
  <c r="A26" i="5"/>
  <c r="AK1" i="5"/>
  <c r="A102" i="5"/>
  <c r="A33" i="5"/>
  <c r="B32" i="5"/>
  <c r="A21" i="5"/>
  <c r="B19" i="5"/>
  <c r="B11" i="5"/>
  <c r="A46" i="5"/>
  <c r="F68" i="4"/>
  <c r="H292" i="5"/>
  <c r="A12" i="5"/>
  <c r="AJ33" i="5" l="1"/>
  <c r="AP1" i="5"/>
  <c r="A42" i="5"/>
  <c r="AO1" i="5"/>
  <c r="A39" i="5"/>
  <c r="AN292" i="5" l="1"/>
  <c r="D128" i="4" s="1"/>
  <c r="A37" i="5"/>
  <c r="B35" i="5"/>
  <c r="AR292" i="5"/>
  <c r="D136" i="4" s="1"/>
  <c r="F136" i="4" s="1"/>
  <c r="AQ292" i="5"/>
  <c r="D134" i="4" s="1"/>
  <c r="AP292" i="5"/>
  <c r="D132" i="4" s="1"/>
  <c r="F132" i="4" s="1"/>
  <c r="AO292" i="5"/>
  <c r="D130" i="4" s="1"/>
  <c r="B25" i="5"/>
  <c r="G207" i="4"/>
  <c r="AD292" i="5"/>
  <c r="AC292" i="5"/>
  <c r="D95" i="4" s="1"/>
  <c r="AA292" i="5"/>
  <c r="D91" i="4" s="1"/>
  <c r="AL292" i="5"/>
  <c r="D119" i="4" s="1"/>
  <c r="F119" i="4" s="1"/>
  <c r="AK292" i="5"/>
  <c r="D76" i="4"/>
  <c r="G76" i="4" s="1"/>
  <c r="G78" i="4" s="1"/>
  <c r="G8" i="4" s="1"/>
  <c r="F203" i="4"/>
  <c r="D99" i="4" l="1"/>
  <c r="G99" i="4" s="1"/>
  <c r="G64" i="4"/>
  <c r="G7" i="4" s="1"/>
  <c r="K292" i="5"/>
  <c r="J13" i="5"/>
  <c r="J292" i="5" s="1"/>
  <c r="Z292" i="5" l="1"/>
  <c r="D89" i="4" s="1"/>
  <c r="I13" i="5"/>
  <c r="I292" i="5" s="1"/>
  <c r="D32" i="4" s="1"/>
  <c r="I1" i="5"/>
  <c r="F34" i="4" l="1"/>
  <c r="E65" i="14" l="1"/>
  <c r="E64" i="14"/>
  <c r="E66" i="14" s="1"/>
  <c r="C62" i="14"/>
  <c r="C12" i="14" l="1"/>
  <c r="C11" i="14"/>
  <c r="E48" i="14"/>
  <c r="E43" i="14"/>
  <c r="E46" i="14" s="1"/>
  <c r="D10" i="14"/>
  <c r="D33" i="14" s="1"/>
  <c r="C31" i="14"/>
  <c r="C30" i="14" s="1"/>
  <c r="E30" i="14"/>
  <c r="C28" i="14"/>
  <c r="C27" i="14" s="1"/>
  <c r="C10" i="14" l="1"/>
  <c r="C33" i="14" s="1"/>
  <c r="E33" i="14" s="1"/>
  <c r="C5" i="14"/>
  <c r="E5" i="14" s="1"/>
  <c r="F5" i="14" s="1"/>
  <c r="K57" i="14"/>
  <c r="K53" i="14" l="1"/>
  <c r="D213" i="4" l="1"/>
  <c r="F213" i="4" s="1"/>
  <c r="B16" i="4" l="1"/>
  <c r="A16" i="4"/>
  <c r="F143" i="4" l="1"/>
  <c r="BH142" i="5"/>
  <c r="BH124" i="5"/>
  <c r="BH123" i="5"/>
  <c r="AE292" i="5"/>
  <c r="D87" i="4" s="1"/>
  <c r="B14" i="4"/>
  <c r="A14" i="4"/>
  <c r="B12" i="4"/>
  <c r="BH292" i="5" l="1"/>
  <c r="D173" i="4" s="1"/>
  <c r="F130" i="4"/>
  <c r="AM292" i="5"/>
  <c r="F91" i="4"/>
  <c r="Y292" i="5"/>
  <c r="T292" i="5"/>
  <c r="B8" i="4"/>
  <c r="A8" i="4"/>
  <c r="G173" i="4" l="1"/>
  <c r="F181" i="4" l="1"/>
  <c r="F14" i="4" s="1"/>
  <c r="G181" i="4"/>
  <c r="G14" i="4" l="1"/>
  <c r="H14" i="4"/>
  <c r="D70" i="4"/>
  <c r="F70" i="4" s="1"/>
  <c r="G109" i="4" l="1"/>
  <c r="G9" i="4" s="1"/>
  <c r="G77" i="14" l="1"/>
  <c r="F73" i="14"/>
  <c r="F75" i="14"/>
  <c r="E76" i="14"/>
  <c r="C76" i="14"/>
  <c r="F76" i="14"/>
  <c r="E75" i="14"/>
  <c r="C75" i="14"/>
  <c r="E74" i="14"/>
  <c r="C74" i="14"/>
  <c r="E73" i="14"/>
  <c r="C73" i="14"/>
  <c r="F95" i="4"/>
  <c r="AJ292" i="5" l="1"/>
  <c r="G73" i="14"/>
  <c r="G75" i="14"/>
  <c r="G74" i="14"/>
  <c r="G76" i="14"/>
  <c r="G79" i="14" l="1"/>
  <c r="G68" i="14"/>
  <c r="BM46" i="5"/>
  <c r="BM292" i="5" s="1"/>
  <c r="F87" i="4"/>
  <c r="G80" i="14" l="1"/>
  <c r="C58" i="14"/>
  <c r="B58" i="14"/>
  <c r="E58" i="14" l="1"/>
  <c r="E10" i="14"/>
  <c r="E27" i="14" l="1"/>
  <c r="F72" i="4" l="1"/>
  <c r="F78" i="4" s="1"/>
  <c r="F195" i="4"/>
  <c r="F8" i="4" l="1"/>
  <c r="H8" i="4" s="1"/>
  <c r="F107" i="4"/>
  <c r="F106" i="4"/>
  <c r="F105" i="4"/>
  <c r="D115" i="4" l="1"/>
  <c r="D38" i="4" l="1"/>
  <c r="F32" i="4"/>
  <c r="D36" i="4" l="1"/>
  <c r="F36" i="4" s="1"/>
  <c r="A1" i="5" l="1"/>
  <c r="F15" i="4" l="1"/>
  <c r="H15" i="4" s="1"/>
  <c r="G199" i="4"/>
  <c r="G232" i="4" s="1"/>
  <c r="D113" i="4"/>
  <c r="F113" i="4" s="1"/>
  <c r="B15" i="4"/>
  <c r="A15" i="4"/>
  <c r="F151" i="4"/>
  <c r="A12" i="4"/>
  <c r="B11" i="4"/>
  <c r="A11" i="4"/>
  <c r="B10" i="4"/>
  <c r="A10" i="4"/>
  <c r="B9" i="4"/>
  <c r="A9" i="4"/>
  <c r="B7" i="4"/>
  <c r="A7" i="4"/>
  <c r="G16" i="4" l="1"/>
  <c r="G19" i="4" s="1"/>
  <c r="G20" i="4" s="1"/>
  <c r="G22" i="4" s="1"/>
  <c r="F232" i="4"/>
  <c r="F16" i="4" s="1"/>
  <c r="F115" i="4"/>
  <c r="F121" i="4" s="1"/>
  <c r="F38" i="4"/>
  <c r="F64" i="4" s="1"/>
  <c r="F89" i="4"/>
  <c r="F109" i="4" s="1"/>
  <c r="F134" i="4"/>
  <c r="H16" i="4" l="1"/>
  <c r="F7" i="4"/>
  <c r="H7" i="4" s="1"/>
  <c r="F10" i="4"/>
  <c r="H10" i="4" s="1"/>
  <c r="F128" i="4"/>
  <c r="F138" i="4" s="1"/>
  <c r="F9" i="4"/>
  <c r="H9" i="4" s="1"/>
  <c r="F12" i="4"/>
  <c r="H12" i="4" s="1"/>
  <c r="F11" i="4" l="1"/>
  <c r="H11" i="4" s="1"/>
  <c r="H19" i="4" s="1"/>
  <c r="H20" i="4" l="1"/>
  <c r="H22" i="4" s="1"/>
  <c r="F19" i="4"/>
  <c r="F20" i="4" l="1"/>
  <c r="F22" i="4" s="1"/>
</calcChain>
</file>

<file path=xl/sharedStrings.xml><?xml version="1.0" encoding="utf-8"?>
<sst xmlns="http://schemas.openxmlformats.org/spreadsheetml/2006/main" count="506" uniqueCount="300">
  <si>
    <t>I.</t>
  </si>
  <si>
    <t>POPIS DEL S PREDIZMERAMI</t>
  </si>
  <si>
    <t>Skupaj:</t>
  </si>
  <si>
    <t>SPLOŠNO</t>
  </si>
  <si>
    <t>1</t>
  </si>
  <si>
    <t>II.</t>
  </si>
  <si>
    <t>III.</t>
  </si>
  <si>
    <t>ZIDARSKA DELA</t>
  </si>
  <si>
    <t>kos</t>
  </si>
  <si>
    <t>~KV delavec</t>
  </si>
  <si>
    <t>ur</t>
  </si>
  <si>
    <t>~PK delavec</t>
  </si>
  <si>
    <t>S K U P A J   ZIDARSKA DELA</t>
  </si>
  <si>
    <t>IV.</t>
  </si>
  <si>
    <t>TESARSKA DELA</t>
  </si>
  <si>
    <t>S K U P A J   TESARSKA DELA</t>
  </si>
  <si>
    <t>V.</t>
  </si>
  <si>
    <t>FASADERSKA DELA</t>
  </si>
  <si>
    <t>S K U P A J  FASADERSKA DELA</t>
  </si>
  <si>
    <t>VI.</t>
  </si>
  <si>
    <t>VII.</t>
  </si>
  <si>
    <t>Fasadni oder</t>
  </si>
  <si>
    <t>KLEPARSKA DELA</t>
  </si>
  <si>
    <t>S K U P A J   KLEPARSKA DELA</t>
  </si>
  <si>
    <t>Število</t>
  </si>
  <si>
    <t>RAZNA DELA</t>
  </si>
  <si>
    <t>S K U P A J   RAZNA DELA</t>
  </si>
  <si>
    <t>A</t>
  </si>
  <si>
    <t xml:space="preserve">      </t>
  </si>
  <si>
    <t>RUŠITVENA IN ODSTRANITVENA DELA</t>
  </si>
  <si>
    <t>S K U P A J   RUŠITVENA IN ODSTRANITVENA DELA</t>
  </si>
  <si>
    <t>2</t>
  </si>
  <si>
    <t>Odbijanje špalet</t>
  </si>
  <si>
    <t>3</t>
  </si>
  <si>
    <t>SEVERNA FASADA</t>
  </si>
  <si>
    <t>Demontaža kovinskih polic</t>
  </si>
  <si>
    <t>Lovilni oder</t>
  </si>
  <si>
    <t>STAVBNO POHIŠTVO</t>
  </si>
  <si>
    <t>S K U P A J   STAVBNO POHIŠTVO</t>
  </si>
  <si>
    <t xml:space="preserve">Ponudbena cena vsebuje vse stroške za: pripravljalna in zaključna dela, stroške porabe elektrike in vode; vsa pomožna dela za izvršitev pogodbenih del; delo preko delovnega časa in dela ob dela prostih dnevih; vse stroške tekočega in končnega čiščenja, morebitno čiščenje javnih površin; orodja, delovno opremo, mehanizacijo, dvigala in potrebne delovne odre; vse manipulativne stroške, transport, prenose, dvige; takse najema zemljišča za potrebe gradbišča – deponij (če je to potrebno), vključno s stroški pridobitve dovoljenja za zaporo in označitev); za preiskave, preizkuse, ateste in certifikate za vgrajene materiale in opremo; potrebnih zahtevanih meritev; stroške za varnost pri delu in protipožarno varnost na delovišču; stroške zavarovanja del; zavarovanje objekta; zavarovanje izdelkov pred poškodbami do predaje naročniku; stroške načrta organizacije gradbišča; stroške koordinacije  podizvajalcev   na gradbišču; stroške zavarovanja dokazov stanja sosednjih objektov in premoženja (video in foto posnetki, cenilna poročila); odprave možnih poškodb na drugih objektih ali na obstoječi infrastrukturi; zaščito vseh površin stavbnega pohištva s PVC folijo. Izvajalec mora vse mere preveriti na mestu samem in eventualna odstopanja upoštevati v enotnih cenah. </t>
  </si>
  <si>
    <t xml:space="preserve">Odstranitev ometa na špaletah oken, fasadnih zasteklitev, balkonskih vrat. V ceni je potrebno upoštevati odstranitev ometa, oziroma dela zidu v globini do 3,0 cm, kot priprava za oblogo s toplotno izolacijo v debelini 2,0 cm vključno s pripravo površine za lepljenje obloge iz toplotne izolacije.  </t>
  </si>
  <si>
    <t>VIII.</t>
  </si>
  <si>
    <t>IX.</t>
  </si>
  <si>
    <t>Višina</t>
  </si>
  <si>
    <t>Dolžina</t>
  </si>
  <si>
    <t>Splošno:</t>
  </si>
  <si>
    <t xml:space="preserve">Pritličje </t>
  </si>
  <si>
    <t>Bruto prostornina</t>
  </si>
  <si>
    <t>Neto prostornina</t>
  </si>
  <si>
    <t>I. nadstropje</t>
  </si>
  <si>
    <t>Skupaj</t>
  </si>
  <si>
    <t>Odstotek:</t>
  </si>
  <si>
    <t>Površina zunanjih sten</t>
  </si>
  <si>
    <t>II</t>
  </si>
  <si>
    <t>Debelina toplotne izolacije</t>
  </si>
  <si>
    <t>Vzhodna stena</t>
  </si>
  <si>
    <t>Severna stena</t>
  </si>
  <si>
    <t>Celotna obstoječa fasadna površina</t>
  </si>
  <si>
    <t>Višina podzidka</t>
  </si>
  <si>
    <r>
      <t>~ O</t>
    </r>
    <r>
      <rPr>
        <vertAlign val="subscript"/>
        <sz val="11"/>
        <rFont val="Calibri"/>
        <family val="2"/>
        <charset val="238"/>
      </rPr>
      <t xml:space="preserve">1 </t>
    </r>
  </si>
  <si>
    <t>Dolžina_širina</t>
  </si>
  <si>
    <r>
      <t>~ O</t>
    </r>
    <r>
      <rPr>
        <vertAlign val="subscript"/>
        <sz val="11"/>
        <rFont val="Calibri"/>
        <family val="2"/>
        <charset val="238"/>
      </rPr>
      <t xml:space="preserve">2 </t>
    </r>
  </si>
  <si>
    <r>
      <t>~ O</t>
    </r>
    <r>
      <rPr>
        <vertAlign val="subscript"/>
        <sz val="11"/>
        <rFont val="Calibri"/>
        <family val="2"/>
        <charset val="238"/>
      </rPr>
      <t xml:space="preserve">3 </t>
    </r>
  </si>
  <si>
    <t>III</t>
  </si>
  <si>
    <t>Površina oken in balkonskih vrat</t>
  </si>
  <si>
    <t>Delež zasteklitve</t>
  </si>
  <si>
    <t>Širina okenskih špalet</t>
  </si>
  <si>
    <r>
      <t>~ O</t>
    </r>
    <r>
      <rPr>
        <vertAlign val="subscript"/>
        <sz val="11"/>
        <rFont val="Calibri"/>
        <family val="2"/>
        <charset val="238"/>
      </rPr>
      <t xml:space="preserve">7 </t>
    </r>
  </si>
  <si>
    <r>
      <t>~ S</t>
    </r>
    <r>
      <rPr>
        <vertAlign val="subscript"/>
        <sz val="11"/>
        <rFont val="Calibri"/>
        <family val="2"/>
        <charset val="238"/>
      </rPr>
      <t xml:space="preserve">2 </t>
    </r>
  </si>
  <si>
    <t>Zahodna stena</t>
  </si>
  <si>
    <t>ZAHODNA  FASADA</t>
  </si>
  <si>
    <t>4</t>
  </si>
  <si>
    <t>JUŽNA  FASADA</t>
  </si>
  <si>
    <t>ZEMELJSKA DELA</t>
  </si>
  <si>
    <t>S K U P A J   ZEMELJSKA DELA</t>
  </si>
  <si>
    <t>5</t>
  </si>
  <si>
    <t>Izkop ob fasadi</t>
  </si>
  <si>
    <t>Zahodna fasada</t>
  </si>
  <si>
    <t>SLIKOPLESKARSKA DELA</t>
  </si>
  <si>
    <t>S K U P A J   SLIKOPLESKARSKA DELA</t>
  </si>
  <si>
    <t xml:space="preserve">V fazi izvedbe je potrebno zagotoviti zaščito fasade pred vremenskimi vplivi, kot sta dež ali neposredno sončno sevanje, in sicer z zaščitnimi mrežami ali zavesami. To velja za celotno trajanje del, vključno z dokončanjem fasade z vsemi priključki (montažo okenskih polic ali drugih elementov v okenski odprtini). Reprodukcijski materiali morajo biti v skladu z zahtevani standarda SIST EN 13162, SIST EN 13164. Fasadni sistem mora izpolnjevati pogoje evropskega tehničnega soglasja na podlagi smernice ETAG 004 ter znak CE in Izjava o lastnostih v skladu z Uredbo o gradbenih proizvodih 305/2011. Pri izvedbi je potrebno upoštevati TS PFSTI 01, fasada je srednje razčlenjena.  </t>
  </si>
  <si>
    <t>6</t>
  </si>
  <si>
    <r>
      <rPr>
        <b/>
        <sz val="11"/>
        <rFont val="Arial"/>
        <family val="2"/>
        <charset val="238"/>
      </rPr>
      <t>λ</t>
    </r>
    <r>
      <rPr>
        <b/>
        <sz val="11"/>
        <rFont val="Calibri"/>
        <family val="2"/>
        <charset val="238"/>
        <scheme val="minor"/>
      </rPr>
      <t xml:space="preserve"> /d   0,25
W/m2K</t>
    </r>
  </si>
  <si>
    <t>Rušenja, izsekavanja in dolbenja morajo biti izvršena strokovno, na način, ki je predpisan v posamezni postavki del. V ceni je potrebno upoštevati vse gradbiščne transporte, nakladanje na transportno sredstvo, prevoz na komunalno deponijo in plačilo vseh pristojbin komunalnega odlagališča, vključno z izdelavo poročila o ravnanju z gradbenimi odpadki.</t>
  </si>
  <si>
    <t>Klet</t>
  </si>
  <si>
    <t>Mansarda</t>
  </si>
  <si>
    <t>Neto uporabna površina</t>
  </si>
  <si>
    <t>Površina</t>
  </si>
  <si>
    <t>Južna stena</t>
  </si>
  <si>
    <t>Vzhhodna fasada</t>
  </si>
  <si>
    <t>Ug</t>
  </si>
  <si>
    <t>Uw</t>
  </si>
  <si>
    <t>Demontaža tablice s hišno številko.</t>
  </si>
  <si>
    <t xml:space="preserve">Priprava fasadnih površin pred izvedbo obloge s toplotno izolacijo. V ceni je potrebno upoštevati, mehansko čiščenje z ročnim ščetkanjem, površinskim, visoko tlačnim  izpiranjem,  premaz z algicidom na mestih pojava mahu in lišajev ter eventualno sanacijo manjših, površin odpadlega, fasadnega ometa. V ceni je potrebno upoštevati evidentiranje poškodovanega fasadnega ometa, izdelava katastra poškodb, odstranitev poškodovanega ometa, vključno s pripravo površine za sanacijo, ter odbijanje poškodovanih delov grobega in žlahtnega ometa do zdrave podlage, mehansko čiščenje površine in izpiranje z vodnim curkom in izvedba sanacije fasadnega ometa s podaljšano cementno malto 1:3:9 na predhodno izveden cementni obrizg 1:3; frakcija malte do 0-8 mm_frakcija ustrezna globini poškodbe. </t>
  </si>
  <si>
    <t>Priprava površin</t>
  </si>
  <si>
    <t>Dodatek</t>
  </si>
  <si>
    <t>Demontaža okenskih polic iz Alu pločevine, širine do 20 cm. V ceni je potrebno upoštevati pazljivo demontažo in pripravo površine za kasnejšo montažo polic.</t>
  </si>
  <si>
    <t>EPS_grafit</t>
  </si>
  <si>
    <t>EPS_špalete</t>
  </si>
  <si>
    <t xml:space="preserve">Pazljiva demontaža betonskih tlakovcev, debeline do 6,0 cm. V ceni je potrebno upoštevati čiščenje in deponiranje do ponovne uporabe. </t>
  </si>
  <si>
    <t>VZHODNA  FASADA</t>
  </si>
  <si>
    <t xml:space="preserve">Izvedba tankoslojne fasade v sestavi (upoštevati tehnologijo proizvajalca), v dveh barvnih odtenkih po izboru naročnika:
~osnovni armirni sloj,
~armirna mrežica iz steklenih vlaken,
~izravnalni sloj,
~prednamaz za boljši oprijem zaključnega sloja (v barvi zaključnega sloja),
~zaključni fasadni omet na osnovi vodnega stekla in dodatkov, hidrofobiran z dodatkom za zaviranje rasti alg in plesni, barvne nianse po izboru naročnika, granulacije 2,0 mm, silikonski zaključni sloj,
~alkalno odporen profil za izvedbo zaključka fasade ob podstavku objekta,
~plastični profil z mrežico za izvedbo spodnjih robov z odkapom, špaletni profili,
~vsi naletni robovi se morajo ojačati s tipskimi PVC profili,
~izdelati je potrebno vse detalje skladno s tehničnimi smernicami in vgraditi vse tipske zaključne profile skladno s tehničnimi rešitvami proizvajalca fasadnega sistema.  </t>
  </si>
  <si>
    <t>Zaključni sloj</t>
  </si>
  <si>
    <t xml:space="preserve">Dobava in montaža lovilnega odra_nadstreška, minimalne širine 1,20 m. Oder za varen vstop v objekt. V ceni je potrebno upoštevati vzdrževanje odra v času gradnje. </t>
  </si>
  <si>
    <t>Hidro izolacija</t>
  </si>
  <si>
    <t>Kompletna izvedba hidroizolacije vkopanega dela toplotne obloge z vsemi zaključki v naslednji sestavi:
~ 2x premaz površine s polimerno cementno maso (kot naprimer hidrostop elastik ali enakovredno). V prvi premaz se vgradi PVC armaturna mreža. V ceni je potrebno upoštevati tudi zaključek na kletni steni in zaščito hidroizolacije s čepasto folijo.</t>
  </si>
  <si>
    <t>Dobava, montaža in odstranitev fasadnega odra višine do 12 m, širine 0,80 m z izvedbo zapore površine iz perforiranih ponjav. V ceni je potrebno upoštevati: 
~statični izračun z upoštevanjem določil zakona o VZD, ~strošek amortizacije odra za ves čas gradnje, 
~izdelavo vse potrebne dokumentacije, kontrolnih listov,  ipd.</t>
  </si>
  <si>
    <t>Dobava in montaža zunanjih, kamnitih okenskih polic, kot na primer granit New Rosa_po izboru naročnika, do širine 35 cm. V ceni je potrebno upoštevati izvedbo vodotesnih stikov, pripravo podlage pred vgradnjo, skladno s posredovanimi tehničnimi smernicami in izvedbo stranskih, silikonskih, prosojnih nalimkov za preprečevanje močenja v coni odbojne vode špalet.</t>
  </si>
  <si>
    <t>Police_ granit</t>
  </si>
  <si>
    <t>Dobava in montaža konzole za izobešanje zastav. V ceni je potrebno upoštevati konzolo s tremi ležišči iz nerjavnega materiala vključno z vsem pritrdilnim in tesnilnim materialom.</t>
  </si>
  <si>
    <t>Zračenje stropnikov</t>
  </si>
  <si>
    <t>Demontaža konzole za izobešanje zastave.</t>
  </si>
  <si>
    <t>Demontaža vert odtočnih cevi</t>
  </si>
  <si>
    <t>Odtočni žleb_vertikalni</t>
  </si>
  <si>
    <t xml:space="preserve">Kombiniran izkop, globine do 0,5 m, v terenu III. kategorije, planiranje dna ročno. V ceni je potrebno upoštevati nalaganje izkopanega marteriala na transportno sredstvo in odvoz na komunalno deponijo s plačilom vseh pristojbin. </t>
  </si>
  <si>
    <t>Dobava in vgrajevanje drobljenca 0-32 mm z utrjevanjem v plasteh do 30 cm ter planiranjem zgornje površine v točnosti +- 2 cm.</t>
  </si>
  <si>
    <t>Tampon</t>
  </si>
  <si>
    <t xml:space="preserve">Polaganje predhodno odstranjenih tlakovcev debeline do 6,0 cm. V ceni je potrebno upoštevati fino izravnavo z gramozom frakcije 0-4 mm, v debelini do 2,0 cm in potrebno rezanje tlakovcev vključno s fugiranjem.    </t>
  </si>
  <si>
    <t>Polaganje tlakovcev</t>
  </si>
  <si>
    <t>Upravičeni stroški</t>
  </si>
  <si>
    <t>Neupravičeni stroški</t>
  </si>
  <si>
    <t xml:space="preserve">Dograditev prezračevalnih rež za zračenje glav stropnikov medetažne konstrukcije plošče nad pritličjem. V ceni je potrebno upoštevati dobavo in vgradnjo PVC cevi premera 50 mm ter dobavo in montažo mrežic iz nerjavnega materiala proti vstopu mrčesa in ptičev.  </t>
  </si>
  <si>
    <t>Podaljševanje vodovodne inštalacije za vrtno pipo iz pocinkane cevi premera 1/2". V ceni je potrebno upoštevati tudi zamenjavo vrtne pipe ter ves tesnilni in pritrdilni material.</t>
  </si>
  <si>
    <t>VRSTA GRADNJE: ENERGETSKA SANACIJA OBJEKTA</t>
  </si>
  <si>
    <t>R E K A P I T U L A C I J A</t>
  </si>
  <si>
    <t>Gradbena pomoč obrtnikom in inštalaterjem:</t>
  </si>
  <si>
    <t>Špalete</t>
  </si>
  <si>
    <t>Okrogel steber</t>
  </si>
  <si>
    <t>KERAMIČARSKA DELA</t>
  </si>
  <si>
    <t>X.</t>
  </si>
  <si>
    <t>S K U P A J   KERAMIČARSKA DELA</t>
  </si>
  <si>
    <t>NS obloga</t>
  </si>
  <si>
    <t>Čelo plošče</t>
  </si>
  <si>
    <t>Stopnišče</t>
  </si>
  <si>
    <t>Pleskanje opaža</t>
  </si>
  <si>
    <t>Demontaža zunanjih senčil. V ceni je potrebno upoštevati demontažo vodil in maske, oziroma omarice. Senčila se do ponovne montaže hranijo v skladišču izvajalca.</t>
  </si>
  <si>
    <t>DDV</t>
  </si>
  <si>
    <t>Skupaj z DDV:</t>
  </si>
  <si>
    <t xml:space="preserve">OBJEKT: VEČ STANOVANJSKA STAVBA, GERBIČEVA ULICA 47, LJUBLJANA </t>
  </si>
  <si>
    <t xml:space="preserve">Ponovna montaža tablice s hišno številko. V ceni je potrebno upoštevati tudi ves nerjavni pritrdilni material (inox). </t>
  </si>
  <si>
    <t>Demontaža cevi</t>
  </si>
  <si>
    <t>Ponovna montaža cevi</t>
  </si>
  <si>
    <t xml:space="preserve">Odstranitev vertikalnih odtočnih žlebov iz pocinkane pločevine, premera do 100 mm. V ceni je potrebno upoštevati tudi demontažo zbirnih kotličkov, pritrdilnih objemk, demontažo odvodne cevi na mestu spoja s kotličkom in porušitev priklopa na peskolov.  </t>
  </si>
  <si>
    <t xml:space="preserve">Ponovna montaža vertikalnega, strešnega žlebu iz pocinkane pločevine, premera 100 mm vključno z zbirnimi kotlički. V ceni je potrebno upoštevati tudi dobavo in montažo pritrdilnih objemk ter izvedbo priklopa na peskolov, vključno z vsem pritrdilnim in tesnilnim materialom.  </t>
  </si>
  <si>
    <t>Pazljiva demontaža poštnih nabiralnikov in skladiščenje nabiralnikov do ponovne montaže.</t>
  </si>
  <si>
    <t>Demontaža tlakovcev</t>
  </si>
  <si>
    <t>Odstranitev obloge iz ekstrudiranega polistirena (XPS) v ploščah,  debeline 6,0 cm, površinsko obdelane z nosilnim slojem kontaktne fasade, lepljene na podlago.</t>
  </si>
  <si>
    <t>Odstranitev XPS</t>
  </si>
  <si>
    <t>~fasadne površine</t>
  </si>
  <si>
    <t>Dobava in vgrajevanje pranega prodca, granulacije 4-8 mm s  planiranjem zgornje površine v točnosti ± 1,0 cm.</t>
  </si>
  <si>
    <t>Demontaža Alu zaključnega profila obloge podzidka. V ceni je potrebno upoštevati demontažo obloge razvite širine 15 cm.</t>
  </si>
  <si>
    <t>Demontaža Alu obrobe</t>
  </si>
  <si>
    <t>Demontaža senčil_150 cm</t>
  </si>
  <si>
    <t>~ senčilo za okna širine do 150 cm</t>
  </si>
  <si>
    <t xml:space="preserve">Izvedba zamenjave sidrišča telefonskega kabelskega voda. V ceni je potrebno upoštevati začasno demontažo TK vodnika, dobava in vgradnja sidrne konzol iz jeklenega, okroglega profila premera 16 mm, dolžine 400 mm. Dodatno sidrno konstrukcijo je potrebno AK zaščititi s temeljnim premazom in zaključno barvati v niansi zaključnega fasadnega ometa. V ceni upoštevati tudi eventualno potrebno pridobitev soglasja in nadzor upravljalca TK omrežja; S in V fasada.            </t>
  </si>
  <si>
    <t xml:space="preserve">Dograditev prezračevalnega kanala iz PVC cevi premera 100 mm, dolžine do 20 cm. V ceni je potrebno upoštevati dobavo in vgradnjo cevi ter premontažo obstoječe rešetke.  </t>
  </si>
  <si>
    <t>~stopnice</t>
  </si>
  <si>
    <t>Nadstrešek_kritina</t>
  </si>
  <si>
    <t>~ nadstrešek nad glavnim vhodom</t>
  </si>
  <si>
    <t xml:space="preserve">Pazljiva demontaža nadstreška: kritine, lesene pod konstrukcije in konstrukcije iz pohištvenih cevi. Nadstrešek je pokrit s polikarbonatnimi ploščami; nadstrešek nad balkonom in vhodom v pritličju.    </t>
  </si>
  <si>
    <t>Sanacija betona</t>
  </si>
  <si>
    <t xml:space="preserve">Sanacija betonskih površin, zmrzlinskih poškodb, korodirane armature na površini AB elementov, luščenje zaščitnega betona ter obdelave v zaplatah. Sanacija se izvaja po naslednjem postopku:
~ostranitev slabo sprijetih in poškodovanih plasti betona ter odstranitev zaščitnih plasti betona nad in v okolici korodirane armature
~čiščenje celotne betonske površine z vodnim curkom pod visokim pritiskom (ca 150 do 200 bar) in čiščenje korodirane armature s peskanjem ali kovinskimi ščetkami do kovinskega sijaja
~zaščita očiščenih armaturnih palic z visoko polimeriziranim cementnim premazom (kot na primer Sika Mono Top 910N v dveh nanosih ali enakovredno)
~sanacija poškodovanih površin z reparaturnimi, polimeriziranimi cementnimi maltami, (kot na primer Sika MonoTop 412N ali enakovredno), na sanirani površini predhodno izvesti kontaktni premaz; zunanje stopnišče.  </t>
  </si>
  <si>
    <t>Zazidava</t>
  </si>
  <si>
    <t>~svetlobni pas</t>
  </si>
  <si>
    <t xml:space="preserve">Zazidava okenskih in vratnih odprtin z opečnimi zidaki debeline 29 cm v podaljšani cementni malti 1:3:9, z vsemi pomožnimi deli in prenosi, vključno s cementnim obrizgom in grobim ometom površine.  </t>
  </si>
  <si>
    <t>Steklene prizme</t>
  </si>
  <si>
    <t xml:space="preserve">Rušenje izvedenega svetlobnega pasu iz steklenih prizem, debeline do 15 cm. V ceni je potrebno upoštevati pazljivo rušenje vključno s pripravo površin za zazidavo odprtine. </t>
  </si>
  <si>
    <t xml:space="preserve">Dobava in montaža delovnega odra na stolicah, višine do 2,0 m, obračun po tlorisni projekciji odra v širini 1,0 m; vhodni podest.  </t>
  </si>
  <si>
    <t>Delovni oder</t>
  </si>
  <si>
    <t>EPS_ podzidek</t>
  </si>
  <si>
    <t>EPS_ grafit</t>
  </si>
  <si>
    <t>~veranda</t>
  </si>
  <si>
    <t xml:space="preserve">Sanacija zidu izdelanega iz kamnitih blokov. V ceni je potrebno upoštevati čiščenje z vodnim curkom pod pritiskom 100 do 150 bar in sanacijo reg z mešanico cementne malte in zmrzlinsko odpornrga lepila v razmerju 1:1. </t>
  </si>
  <si>
    <t>Sanacija kamnitega zidu</t>
  </si>
  <si>
    <t>Dobava in montaža tipskega poštnega nabiralnika z vsemi pripravljalnimi deli in pritrdilnim materialom.</t>
  </si>
  <si>
    <t xml:space="preserve">Pleskanje zunanjega lesenega opaža napušča iz desk montiranih z vmesnimi režami do 1,50 cm. V ceni je potrebno upoštevati predhodno čiščenje, brušenje površine in odstranitev razpokane obstoječe zaščite lesa; dvakratno pleskanje površine lesenega opaža z barva za zaščito lesa v obstoječi niansi. </t>
  </si>
  <si>
    <t>Kovinska konstrukcija</t>
  </si>
  <si>
    <t xml:space="preserve">Pleskanje kovinske konstrukcije nadstreška in lesene ograje iz pohištvenih profilov 50/50 mm in 30/30 mm. V ceni je potrebno upoštevati čiščenje do kovinskega sijaja, AK zaščito in barvanje v obstoječem tonu. </t>
  </si>
  <si>
    <t>~vertilkale</t>
  </si>
  <si>
    <t>~horizontale</t>
  </si>
  <si>
    <t xml:space="preserve">Ponovna montaža kritine nadstreška v sestavi: 
~predhodno odstranjena kritina iz polikarbonatnih plošč, 
~lesena pod konstrukcija iz moralov 5/5 cm.
V ceni je potrebno upoštevati zudi ves pritrdilni in tesnilni material ter zamenjavo neustreznih delov predhodno odstranjene kritine.    </t>
  </si>
  <si>
    <t>Kritina nadstreškov</t>
  </si>
  <si>
    <t xml:space="preserve">Dobava in montaža kritine iz Alu barvane pločevine, debline 0,7 mm, na nadstrešku, nad glavnim vhodom v PT. V ceni je potrebno upoštevati ustrezno, leseno pod konstrukcijo, podlogo iz strešne lepenke ter ves pritrdilni in tesnilni material.  </t>
  </si>
  <si>
    <t>Nadstrešek_ kritina</t>
  </si>
  <si>
    <t>Dobava in montaža horizontalnega, strešnega žlebu iz Alu barvane pločevine, debline 0,7 mm, razvite širine do 20 cm, barva po izboru naročnika. V ceni je potrebno upoštevati tudi dobavo ter montažo pritrdilnih elementov in kotlička za priklop vertikale.</t>
  </si>
  <si>
    <t>H žleb</t>
  </si>
  <si>
    <t xml:space="preserve">Dobava in montaža vertikalnega, strešnega odtoka iz Alu barvane pločevine, debline 0,7 mm, premera 6 cm, barva po izboru naročnika. V ceni je potrebno upoštevati tudi dobavo in montažo vseh lokov in izogibov ter pritrdilnih objemk.  </t>
  </si>
  <si>
    <t>V cev</t>
  </si>
  <si>
    <t>Demontaža ograjnih desk pritrjenih na kovinsko pod konstrukcijo, vključno z pomožnimi, vzdolžnimi, montažnimi morali dimenzij 3/3 cm; ograja terase v I. nadstropju.</t>
  </si>
  <si>
    <t>Ograja terasa</t>
  </si>
  <si>
    <t xml:space="preserve">Demontaža lesene ograje iz nosilnega okvirja iz lesa preseka 4,8/10 cm, z vertikalmimi polnilnimi deskami debeline 2,2 cm, širine 4,8 cm.  </t>
  </si>
  <si>
    <t>Ograja vhod</t>
  </si>
  <si>
    <t xml:space="preserve">Izdelava in montaža lesene ograje (enako kot obstoječa) iz nosilnega okvirja iz lesa preseka 4,8/10 cm, z vertikalnimi polnilnimi deskami debeline 2,2 cm, širine 4,8 cm. Vse lesene površine gladko obdelane, barvane z lazurno barvo, vključno z vsem pritrdilnim in veznim materialom iz narjavnega materiala; vhod v visoko PT.  </t>
  </si>
  <si>
    <t>Dobava in montaža ograjnih desk debeline 2,2 cm, širine 10 cm, višine 105 cm in držala debeline 4,8 cm, širine 10 cm iz smreke I. kategorije, gladko obdelanih, barvanih z lazurno barvo. Deske se pritrjuje na vzdolžne, montažnimi morale dimenzij 3/3 cm, ki so predhodno sidrani v kovinsko pod konstrukcijo. Vsi pritrdilni elementi in vezni material iz nerjavnega materiala, vključno z vsemi pomožnimi deli in konstrukcijami; ograja terase v I. nadstropju.</t>
  </si>
  <si>
    <t xml:space="preserve">~terasa v I. nadstropju </t>
  </si>
  <si>
    <t>HI veranda_ terasa</t>
  </si>
  <si>
    <t xml:space="preserve">Izdelava horizontalne hidroizolacije terase v I. nad. ter stopnic in terase pred glavnim vhodom visokega pritličja s polimer cementno maso (kot na primer Hidrostop elastik, ali enakovredno). V ceni je potrebno upoštevati izvedbo dveh (2) premazov, v prvem sloju je vgrajena PVC armirna mrežica in montažo tipskih kotnih  trakov (kot na primer Kemaband 12, ali enakovredno) na stiku s steno. Stena se izolira do višine 30 cm. </t>
  </si>
  <si>
    <t>Terasa I. nad. In VPT</t>
  </si>
  <si>
    <t>NS obloga_ stopnice</t>
  </si>
  <si>
    <t>Stranska obloga stopnice</t>
  </si>
  <si>
    <t>Slikanje zunanjih, fasadnih površin z mikro armirano silikonsko, fasadno barvo, polnjeno s polipropilenskimi vlakni ter dodatno algicidno in fungicidno zaščiteno; vodo odbojno in paro propustno, barva v obstoječem tonu. 
~enkrat osnovni  premaz in dvakrat slikanje, na predhodno očiščeno površino, izdelati po navodilu proizvajalca barve (kot na primer Revitalkolor AG, ali enakovredno); strop vhodnega nadstreška v visokem PT in PT.
V ceni je potrebno upoštevati predhodno pripravo površine in eventalno potrebno izravnavo.</t>
  </si>
  <si>
    <t>Revital nadstreški</t>
  </si>
  <si>
    <t>Slikanje notranjih površin sten in stropov, s predhodno izvedbo glajenja in eventualnim bandažiranjem razpok ter stikov pleskarske obdelave: 
~enkrat osnovni  premaz in dvakrat slikanje, izdelati po navodilu proizvajalca barve (kot na primer Jupol ali enakovredno); obdelava okolice zazidanega svetlobnega pasu.</t>
  </si>
  <si>
    <t>Dobava in vgraditev peskolova iz betonske cevi Ø 30 cm, betonski pokrov, globina peskolova do 1,0 m. V ceni je potrebno upoštevati tudi priklop odtoka s strehe in priklop na kanalizacijski vod; vključno z vsemi potrebnimi zemeljskimi deli; nadstrešek nad vhodom v pritličje.</t>
  </si>
  <si>
    <t>Izvedba tankoslojne fasade v sestavi (upoštevati tehnologijo proizvajalca), v dveh barvnih odtenkih po izboru naročnika:
~osnovni armirni sloj,
~armirna mrežica iz steklenih vlaken,
~izravnalni sloj,
~prednamaz za boljši oprijem zaključnega sloja (v barvi zaključnega sloja),
~zaključni fasadni omet na osnovi vodnega stekla in dodatkov, hidrofobiran z dodatkom za zaviranje rasti alg in plesni, barvne nianse po izboru naročnika, granulacije 2,0 mm, silikonski zaključni sloj.
Obdelava okroglih stebrov s sloji kontaktne fasade.</t>
  </si>
  <si>
    <t xml:space="preserve">Dobava in vgradnja vogalnih profilov iz nerjavne pločevine, dimenzija 50/50/4 mm, dolžine 2000 mm.  V ceni je potrebno upoštevati ves pritrdilni material; naletni vogali objekta. </t>
  </si>
  <si>
    <t xml:space="preserve">Pazljiva demontaža zunanjih, stenskih svetilk. V ceni je potrebno upoštevati demontažo, odklop ožičenja in skladiščenje do povovne uporabe. </t>
  </si>
  <si>
    <t>Dobava in montaža zunanjih, stenskih svetilk, vključno z vsem pritrdilnim materialom in potrebnimi vezavami:</t>
  </si>
  <si>
    <t>~svetilka fluo 18 W IP IP44-stenska</t>
  </si>
  <si>
    <t>Prestavitev tipke za zvonec. V ceni je potrebno upoštevati dobavo in montažo pod ometne doze, podaljšanje ožičenje in ponovno montažo tipke za zvonec.</t>
  </si>
  <si>
    <t>PLOŠČA NAD I. NADSTROPJEM</t>
  </si>
  <si>
    <t xml:space="preserve">Ponovna montaža zunanjih senčil, rolojev. V ceni je potrebno upoštevati pregled demontiranih senčil in servis, vključno z montažo in vsem pritrdilnimk ter tesnilnim materialom: </t>
  </si>
  <si>
    <t>Servisni dostop</t>
  </si>
  <si>
    <t>Izolacija podstrehe</t>
  </si>
  <si>
    <t xml:space="preserve">Čiščenje površin podstrešja in priprava za polaganje toplotne izolacije. V ceni je potrebno upoštevati odstranitev nevgrajenega materiala in nesnage. </t>
  </si>
  <si>
    <t>Čiščenje</t>
  </si>
  <si>
    <t xml:space="preserve">Dobava in montaža varovalnih rešetk iz nerjavnih, polnih, okroglih profilov, premera 18 mm. V ceni je potrebno upoštevati izdelavo pod konstrukcije iz ploščatega profila 3/30 mm, vključno z vsem pritrdilnim in tesnilnim materialom.  </t>
  </si>
  <si>
    <t xml:space="preserve">Dobava in montaža servisnega dostopa na površinah pod strehe. V ceni je potrebno upoštevati izdelavo lesenih distančnikov v debelini toplotne izolacije (20 cm), ter izvedbo pohodne površine iz OSB plošč debeline 1,8 cm, širine 120 cm.  </t>
  </si>
  <si>
    <r>
      <t>~ O</t>
    </r>
    <r>
      <rPr>
        <vertAlign val="subscript"/>
        <sz val="11"/>
        <rFont val="Calibri"/>
        <family val="2"/>
        <charset val="238"/>
        <scheme val="minor"/>
      </rPr>
      <t xml:space="preserve">1 </t>
    </r>
  </si>
  <si>
    <r>
      <t>~ O</t>
    </r>
    <r>
      <rPr>
        <vertAlign val="subscript"/>
        <sz val="11"/>
        <rFont val="Calibri"/>
        <family val="2"/>
        <charset val="238"/>
        <scheme val="minor"/>
      </rPr>
      <t xml:space="preserve">2 </t>
    </r>
  </si>
  <si>
    <r>
      <t>~ O</t>
    </r>
    <r>
      <rPr>
        <vertAlign val="subscript"/>
        <sz val="11"/>
        <rFont val="Calibri"/>
        <family val="2"/>
        <charset val="238"/>
        <scheme val="minor"/>
      </rPr>
      <t xml:space="preserve">3 </t>
    </r>
  </si>
  <si>
    <r>
      <t>~ O</t>
    </r>
    <r>
      <rPr>
        <vertAlign val="subscript"/>
        <sz val="11"/>
        <rFont val="Calibri"/>
        <family val="2"/>
        <charset val="238"/>
        <scheme val="minor"/>
      </rPr>
      <t xml:space="preserve">4 </t>
    </r>
  </si>
  <si>
    <r>
      <t>~ O</t>
    </r>
    <r>
      <rPr>
        <vertAlign val="subscript"/>
        <sz val="11"/>
        <rFont val="Calibri"/>
        <family val="2"/>
        <charset val="238"/>
        <scheme val="minor"/>
      </rPr>
      <t xml:space="preserve">5 </t>
    </r>
  </si>
  <si>
    <r>
      <t>~ O</t>
    </r>
    <r>
      <rPr>
        <vertAlign val="subscript"/>
        <sz val="11"/>
        <rFont val="Calibri"/>
        <family val="2"/>
        <charset val="238"/>
        <scheme val="minor"/>
      </rPr>
      <t xml:space="preserve">6 </t>
    </r>
  </si>
  <si>
    <r>
      <t>~ O</t>
    </r>
    <r>
      <rPr>
        <vertAlign val="subscript"/>
        <sz val="11"/>
        <rFont val="Calibri"/>
        <family val="2"/>
        <charset val="238"/>
        <scheme val="minor"/>
      </rPr>
      <t xml:space="preserve">7 </t>
    </r>
  </si>
  <si>
    <r>
      <t>~ V</t>
    </r>
    <r>
      <rPr>
        <vertAlign val="subscript"/>
        <sz val="11"/>
        <rFont val="Calibri"/>
        <family val="2"/>
        <charset val="238"/>
        <scheme val="minor"/>
      </rPr>
      <t xml:space="preserve">1 </t>
    </r>
  </si>
  <si>
    <r>
      <t>~ V</t>
    </r>
    <r>
      <rPr>
        <vertAlign val="subscript"/>
        <sz val="11"/>
        <rFont val="Calibri"/>
        <family val="2"/>
        <charset val="238"/>
        <scheme val="minor"/>
      </rPr>
      <t>2</t>
    </r>
  </si>
  <si>
    <r>
      <t>~ O</t>
    </r>
    <r>
      <rPr>
        <vertAlign val="subscript"/>
        <sz val="11"/>
        <rFont val="Calibri"/>
        <family val="2"/>
        <charset val="238"/>
        <scheme val="minor"/>
      </rPr>
      <t xml:space="preserve">8 </t>
    </r>
  </si>
  <si>
    <r>
      <t>~ O</t>
    </r>
    <r>
      <rPr>
        <vertAlign val="subscript"/>
        <sz val="11"/>
        <rFont val="Calibri"/>
        <family val="2"/>
        <charset val="238"/>
        <scheme val="minor"/>
      </rPr>
      <t xml:space="preserve">9 </t>
    </r>
  </si>
  <si>
    <r>
      <t>~ O</t>
    </r>
    <r>
      <rPr>
        <vertAlign val="subscript"/>
        <sz val="11"/>
        <rFont val="Calibri"/>
        <family val="2"/>
        <charset val="238"/>
        <scheme val="minor"/>
      </rPr>
      <t xml:space="preserve">10 </t>
    </r>
  </si>
  <si>
    <r>
      <t>~ O</t>
    </r>
    <r>
      <rPr>
        <vertAlign val="subscript"/>
        <sz val="11"/>
        <rFont val="Calibri"/>
        <family val="2"/>
        <charset val="238"/>
        <scheme val="minor"/>
      </rPr>
      <t xml:space="preserve">11 </t>
    </r>
  </si>
  <si>
    <r>
      <t>~ O</t>
    </r>
    <r>
      <rPr>
        <vertAlign val="subscript"/>
        <sz val="11"/>
        <rFont val="Calibri"/>
        <family val="2"/>
        <charset val="238"/>
        <scheme val="minor"/>
      </rPr>
      <t xml:space="preserve">12 </t>
    </r>
  </si>
  <si>
    <r>
      <t>~ V</t>
    </r>
    <r>
      <rPr>
        <vertAlign val="subscript"/>
        <sz val="11"/>
        <rFont val="Calibri"/>
        <family val="2"/>
        <charset val="238"/>
        <scheme val="minor"/>
      </rPr>
      <t xml:space="preserve">3 </t>
    </r>
  </si>
  <si>
    <r>
      <t>~ V</t>
    </r>
    <r>
      <rPr>
        <vertAlign val="subscript"/>
        <sz val="11"/>
        <rFont val="Calibri"/>
        <family val="2"/>
        <charset val="238"/>
        <scheme val="minor"/>
      </rPr>
      <t xml:space="preserve">4 </t>
    </r>
  </si>
  <si>
    <r>
      <t>~ O</t>
    </r>
    <r>
      <rPr>
        <vertAlign val="subscript"/>
        <sz val="11"/>
        <rFont val="Calibri"/>
        <family val="2"/>
        <charset val="238"/>
        <scheme val="minor"/>
      </rPr>
      <t xml:space="preserve">14 </t>
    </r>
  </si>
  <si>
    <r>
      <t>m</t>
    </r>
    <r>
      <rPr>
        <vertAlign val="superscript"/>
        <sz val="11"/>
        <rFont val="Calibri"/>
        <family val="2"/>
        <charset val="238"/>
      </rPr>
      <t>2</t>
    </r>
  </si>
  <si>
    <r>
      <t>m</t>
    </r>
    <r>
      <rPr>
        <vertAlign val="superscript"/>
        <sz val="11"/>
        <rFont val="Calibri"/>
        <family val="2"/>
        <charset val="238"/>
      </rPr>
      <t>1</t>
    </r>
  </si>
  <si>
    <r>
      <t>m</t>
    </r>
    <r>
      <rPr>
        <vertAlign val="superscript"/>
        <sz val="11"/>
        <rFont val="Calibri"/>
        <family val="2"/>
        <charset val="238"/>
      </rPr>
      <t>3</t>
    </r>
  </si>
  <si>
    <r>
      <t xml:space="preserve">Demontaža vzidanih, kovinskih, varnostnih rešetk. Rešetke so izdelane iz osmih (8) in sedmih (7) jeklenih palic premera do </t>
    </r>
    <r>
      <rPr>
        <sz val="11"/>
        <rFont val="Calibri"/>
        <family val="2"/>
        <charset val="238"/>
      </rPr>
      <t>Φ 20 mm. V ceni je potrebno računati izsekavanje in pripravo površine za oblogo s toplotno izolacijo.</t>
    </r>
  </si>
  <si>
    <r>
      <t>Dobava in montaža izolacije plošče proti podstrešju v sestavi: 
~polietilenska parna zapora, kot naprimer LDS 100 ali enakovredno,
~plošče iz kamene volne, debeline 20 cm, standard SIST EN 13501-1, razred gorljivosti A</t>
    </r>
    <r>
      <rPr>
        <vertAlign val="subscript"/>
        <sz val="11"/>
        <rFont val="Calibri"/>
        <family val="2"/>
        <charset val="238"/>
      </rPr>
      <t>1</t>
    </r>
    <r>
      <rPr>
        <sz val="11"/>
        <rFont val="Calibri"/>
        <family val="2"/>
        <charset val="238"/>
      </rPr>
      <t>, toplotna prevodnost, λ=0,035 W/mK, SIST EN 12667. Montaža plošč se izvaja s polaganjem v dveh slojih, križno.</t>
    </r>
  </si>
  <si>
    <r>
      <t>Dobava in montaža fasadnih izolacijskih plošč iz ekspandiranega polistirena (EPS) debeline 14 cm:
- standard SIST EN 13163, razred gorljivosti E, 
- ekspandirane v kalupu z obojestranskim rastrom 1,0x1,0 cm, λ=0,031 W/m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K, gostota 20 kg/m</t>
    </r>
    <r>
      <rPr>
        <vertAlign val="super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>, odporna na vlago, 
- montaža plošč se izvaja z lepljenjem in mehanskim pritrjevanjem s tipskimi pritrdilnimi sidri, 6 kos/m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. V ceni je potrebno upoštevati dobavo in montažo čepov (rondel) za zapiranje utorov pri poglabljanju tipskih, pritrdilnih sidr. Detalj v območju stika s tlakovanimi površinami zunanje ureditve in terenom se izvede skladno s skico iz priložene tehnične dokumentacije; podzidek.</t>
    </r>
  </si>
  <si>
    <r>
      <t>Dobava in montaža fasadnih izolacijskih plošč iz ekspandiranega polistirena z dodatkom grafita, debeline 14 cm:
- standard SIST EN 13501-1, razred gorljivosti E, 
- toplotna prevodnost, λ=0,032 W/mK, SIST EN 12667, 
- montaža plošč se izvaja z lepljenjem in mehanskim pritrjevanjem s sidri, 6 kos/m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 xml:space="preserve">. V ceni je potrebno upoštevati dobavo in montažo čepov (rondel) za zapiranje utorov pri poglabljanju mehanskih, pritrdilnih sidr  in izvedbo proti požarne zaščite nad vsemi okni v višini 20 cm, 30 cm levo in desno od vertikalne okenske špalete z oblogo iz kamene volne, razred gorljivosti A1; fasadne površine.  </t>
    </r>
  </si>
  <si>
    <r>
      <t>Dobava in montaža fasadnih izolacijskih plošč iz ekspandiranega polistirena (EPS) debeline 2 cm:
- standard SIST EN 13163, razred gorljivosti E, 
- ekspandirane v kalupu z obojestranskim rastrom 1,0x1,0 cm, λ=0,031 W/m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K, gostota 20 kg/m</t>
    </r>
    <r>
      <rPr>
        <vertAlign val="super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 xml:space="preserve">, odporna na vlago, 
- montaža plošč se izvaja z lepljenjem; špalete. </t>
    </r>
  </si>
  <si>
    <r>
      <t>Obloga zunanjih površin terase s granito keramiko, razred drsnosti R11, na obstoječo keramiko. V ceni je potrebno upoštevati izvedbo kontaktnega premaza za lepljenje na barvano površino. Obloga z lepljenjem, upoštevanjem vseh zaključkov in zaključnih profilov pri stiku obloge čela balkonske plošče in nizkostenske obrobe, višine 10 cm. V ceni upoštevati nabavno ceno keramike do 20 €/m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, keramika po izbiri naročnika; terasa v I. nad., in pred glavnim vhodom.</t>
    </r>
  </si>
  <si>
    <r>
      <t>Izvedba nizko stenske obloge z granito keramiko v višini 10 cm. Obloga na pripravljeno površino, obloga z lepljenjem in upoštevanjem vseh zaključkov pri stiku s tlakom (trajno elestična rega). V ceni upoštevati nabavno ceno keramike do 20 €/m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, keramika kot talna.</t>
    </r>
  </si>
  <si>
    <r>
      <t>Izvedba obloge čela AB plošče terase z granito keramiko v višini do 25 cm. Obloga na pripravljeno površino, obloga z lepljenjem in upoštevanjem vseh Alu zaključnih pofilov pri stiku s tlakom. V ceni upoštevati nabavno ceno keramike do 20 €/m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, keramika kot talna.</t>
    </r>
  </si>
  <si>
    <r>
      <t>Obloga zunanjih površin stopnišča s granito keramiko, razred drsnosti R11, na terazzo obdelavo. V ceni je potrebno upoštevati izvedbo kontaktnega premaza za lepljenje na barvano površino in ustrezno lepilo. Obloga z lepljenjem, upoštevanjem vseh Alu zaključnih profilov na robovih stopnic. V ceni upoštevati nabavno ceno keramike do 20 €/m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, keramika po izbiri naročnika; vhodno stopnišče.</t>
    </r>
  </si>
  <si>
    <r>
      <t>Izvedba nizko stenske obloge stopnic z granito keramiko v višini 10 cm. Obloga na pripravljeno površino, obloga z lepljenjem in upoštevanjem vseh zaključkov pri stiku s tlakom (trajno elestična rega). V ceni upoštevati nabavno ceno keramike do 20 €/m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, keramika kot talna.</t>
    </r>
  </si>
  <si>
    <r>
      <t>Izvedba obloge zunanje stranice stopnic z granito keramiko v višini do 35 cm. Obloga na pripravljeno površino, obloga z lepljenjem. V ceni upoštevati nabavno ceno keramike do 20 €/m</t>
    </r>
    <r>
      <rPr>
        <vertAlign val="superscript"/>
        <sz val="11"/>
        <rFont val="Calibri"/>
        <family val="2"/>
        <charset val="238"/>
      </rPr>
      <t>2</t>
    </r>
    <r>
      <rPr>
        <sz val="11"/>
        <rFont val="Calibri"/>
        <family val="2"/>
        <charset val="238"/>
      </rPr>
      <t>, keramika kot talna.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</si>
  <si>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</si>
  <si>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~za okno O</t>
    </r>
    <r>
      <rPr>
        <vertAlign val="subscript"/>
        <sz val="11"/>
        <rFont val="Calibri"/>
        <family val="2"/>
        <charset val="238"/>
      </rPr>
      <t>1</t>
    </r>
    <r>
      <rPr>
        <sz val="11"/>
        <rFont val="Calibri"/>
        <family val="2"/>
        <charset val="238"/>
      </rPr>
      <t xml:space="preserve">: velikosti 145x130 cm.  </t>
    </r>
  </si>
  <si>
    <r>
      <t>~za okno O</t>
    </r>
    <r>
      <rPr>
        <vertAlign val="subscript"/>
        <sz val="11"/>
        <rFont val="Calibri"/>
        <family val="2"/>
        <charset val="238"/>
      </rPr>
      <t>3</t>
    </r>
    <r>
      <rPr>
        <sz val="11"/>
        <rFont val="Calibri"/>
        <family val="2"/>
        <charset val="238"/>
      </rPr>
      <t xml:space="preserve">: velikosti 150x155 cm. </t>
    </r>
  </si>
  <si>
    <r>
      <t>~za okno O</t>
    </r>
    <r>
      <rPr>
        <vertAlign val="subscript"/>
        <sz val="11"/>
        <rFont val="Calibri"/>
        <family val="2"/>
        <charset val="238"/>
      </rPr>
      <t>4</t>
    </r>
    <r>
      <rPr>
        <sz val="11"/>
        <rFont val="Calibri"/>
        <family val="2"/>
        <charset val="238"/>
      </rPr>
      <t xml:space="preserve">: velikosti 82x81 cm. </t>
    </r>
  </si>
  <si>
    <r>
      <t>~za okno O</t>
    </r>
    <r>
      <rPr>
        <vertAlign val="subscript"/>
        <sz val="11"/>
        <rFont val="Calibri"/>
        <family val="2"/>
        <charset val="238"/>
      </rPr>
      <t>8</t>
    </r>
    <r>
      <rPr>
        <sz val="11"/>
        <rFont val="Calibri"/>
        <family val="2"/>
        <charset val="238"/>
      </rPr>
      <t xml:space="preserve">: velikosti 82x81 cm. </t>
    </r>
  </si>
  <si>
    <r>
      <t>~za okno O</t>
    </r>
    <r>
      <rPr>
        <vertAlign val="subscript"/>
        <sz val="11"/>
        <rFont val="Calibri"/>
        <family val="2"/>
        <charset val="238"/>
      </rPr>
      <t>9</t>
    </r>
    <r>
      <rPr>
        <sz val="11"/>
        <rFont val="Calibri"/>
        <family val="2"/>
        <charset val="238"/>
      </rPr>
      <t xml:space="preserve">: velikosti 150x155 cm. </t>
    </r>
  </si>
  <si>
    <r>
      <t xml:space="preserve">Podometna izvedba TK kabla. V ceni je potrebno upoštevati izsekavanje utora 5/5 cm v fasadno steno, dobavo in montažo rebraste zaščitne cevi </t>
    </r>
    <r>
      <rPr>
        <sz val="11"/>
        <rFont val="Calibri"/>
        <family val="2"/>
        <charset val="238"/>
      </rPr>
      <t xml:space="preserve">Φ 30 mm, uvlačenje kabla v zaščitno cev in zidarsko obdelavo stene, vključno z zamenjavo razvodne doze. V ceni je potrebno upoštevati tudi eventualno pridobivanje soglasja distributerja in nadzor distributerja nad izvedbo. </t>
    </r>
  </si>
  <si>
    <t>XI.</t>
  </si>
  <si>
    <t>PREZRAČEVANJE</t>
  </si>
  <si>
    <t>Mitsubishi Electric VL-50ES2-E</t>
  </si>
  <si>
    <t xml:space="preserve">Lokalna prezračevalna naprava, s patentiranim visoko učinkovitim ,,Hyper Eco,, toplotnim izmenjevalcem iz papirja LOSSNAY, za postavitev na steno prezračevanega prostora. </t>
  </si>
  <si>
    <t>- dvo stopenjski ventilator z nastavitvijo pretoka na 60% / 100% celotne količine</t>
  </si>
  <si>
    <t>- zračni filter EU-G3</t>
  </si>
  <si>
    <t xml:space="preserve">- vključno s priključnimo cevjo Ø 100 do dolžine max. 650 mm </t>
  </si>
  <si>
    <t xml:space="preserve">- vključno z zunanjo pokrivno rozeto Ø 180 × 109 mm za dovod in odovod zraka </t>
  </si>
  <si>
    <t>- za regulacijo naprave se izbere stikalo z funkcijami vklop/izklop in prva/druga hitrost ventilacije (ni v dobavi proizvoda)</t>
  </si>
  <si>
    <t>PROIZVAJALEC: Mitsubishi Electric, Japonska</t>
  </si>
  <si>
    <t>UVOZNIK: REAM d.o.o., Trzin</t>
  </si>
  <si>
    <t>TEHNIČNI PODATKI:</t>
  </si>
  <si>
    <t xml:space="preserve">Električni priključek: 230V/1F/50Hz </t>
  </si>
  <si>
    <t>Električna moč: 4.5 / 20 W</t>
  </si>
  <si>
    <t>Pretok zraka: 16 / 52.5 m3/h</t>
  </si>
  <si>
    <t>Zunanji statični tlak: 0 Pa</t>
  </si>
  <si>
    <t>Učinkovitost temperaturne izmenjave: 69 / 85 %</t>
  </si>
  <si>
    <t>Nivo hrupa (SPL): 15 / 37 dB(A)</t>
  </si>
  <si>
    <t>Dimenzije enote (V x Š x G): 245 x 522 × 168 mm (mere brez priključkov)</t>
  </si>
  <si>
    <t>Teža enote: 6,2 kg</t>
  </si>
  <si>
    <t>kpl</t>
  </si>
  <si>
    <t>Mitsubishi Electric VL-100EU5-E</t>
  </si>
  <si>
    <t xml:space="preserve">- vključno s priključnimi cevmi Ø 75 do dolžine max. 550 mm </t>
  </si>
  <si>
    <t xml:space="preserve">- vključno z zunanjimi pokrvnimi rozetami Ø 150 × 106 mm za dovod in odovod zraka </t>
  </si>
  <si>
    <t>Električna moč: 17 / 34W</t>
  </si>
  <si>
    <t>Pretok zraka: 61 / 106 m3/h</t>
  </si>
  <si>
    <t>Učinkovitost temperaturne izmenjave: 79 / 72 %</t>
  </si>
  <si>
    <t>Nivo hrupa (SPL): 27 / 38 dB(A)</t>
  </si>
  <si>
    <t>Dimenzije enote (V x Š x G): 265 x 620 × 200 mm (mere brez priključkov)</t>
  </si>
  <si>
    <t>Teža enote: 7,5 kg</t>
  </si>
  <si>
    <t>Montaža prezračevalne naprave VL</t>
  </si>
  <si>
    <t>- preboj stene 2× Ø 75 (pri VL100) oz. 1 × Ø 100 (pri VL50)</t>
  </si>
  <si>
    <t>- vgradnja prezračevalnih cevi v steno</t>
  </si>
  <si>
    <t>- montaža naprava na montažno plošč in priklop prezračevalnih cevi</t>
  </si>
  <si>
    <t>- montaža okrasnih rozet na zunanji steni</t>
  </si>
  <si>
    <t>- montaža in priklop elektro dovodnega kabla</t>
  </si>
  <si>
    <t>- montaža in priklop elektro stikala za regulacijo naprave</t>
  </si>
  <si>
    <t>Dimenzija priključkov za zrak (mm): Ø100</t>
  </si>
  <si>
    <t>Dimenzija priključkov za zrak (mm): Ø75</t>
  </si>
  <si>
    <t>S K U P A J   PREZRAČEVANJE</t>
  </si>
  <si>
    <t>E.M.</t>
  </si>
  <si>
    <t>Količina</t>
  </si>
  <si>
    <t>Cena</t>
  </si>
  <si>
    <t xml:space="preserve">Skupaj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</si>
</sst>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#,##0.00;&quot;&quot;"/>
    <numFmt numFmtId="165" formatCode="0.0000"/>
    <numFmt numFmtId="166" formatCode="dd/mm/yyyy;@"/>
    <numFmt numFmtId="167" formatCode="#,##0.00\ [$€-1]"/>
  </numFmts>
  <fonts count="35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vertAlign val="subscript"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0"/>
      <name val="Arial"/>
      <family val="2"/>
    </font>
    <font>
      <vertAlign val="subscript"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</font>
    <font>
      <vertAlign val="superscript"/>
      <sz val="1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3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8" fillId="4" borderId="0" applyNumberFormat="0" applyBorder="0" applyAlignment="0" applyProtection="0"/>
    <xf numFmtId="0" fontId="15" fillId="16" borderId="1" applyNumberFormat="0" applyAlignment="0" applyProtection="0"/>
    <xf numFmtId="0" fontId="16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4" fillId="17" borderId="0" applyNumberFormat="0" applyBorder="0" applyAlignment="0" applyProtection="0"/>
    <xf numFmtId="0" fontId="19" fillId="18" borderId="5" applyNumberFormat="0" applyAlignment="0" applyProtection="0"/>
    <xf numFmtId="0" fontId="1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13" fillId="0" borderId="6" applyNumberFormat="0" applyFill="0" applyAlignment="0" applyProtection="0"/>
    <xf numFmtId="0" fontId="6" fillId="23" borderId="7" applyNumberFormat="0" applyAlignment="0" applyProtection="0"/>
    <xf numFmtId="0" fontId="5" fillId="16" borderId="8" applyNumberFormat="0" applyAlignment="0" applyProtection="0"/>
    <xf numFmtId="0" fontId="4" fillId="3" borderId="0" applyNumberFormat="0" applyBorder="0" applyAlignment="0" applyProtection="0"/>
    <xf numFmtId="0" fontId="12" fillId="7" borderId="8" applyNumberFormat="0" applyAlignment="0" applyProtection="0"/>
    <xf numFmtId="0" fontId="17" fillId="0" borderId="9" applyNumberFormat="0" applyFill="0" applyAlignment="0" applyProtection="0"/>
    <xf numFmtId="0" fontId="29" fillId="0" borderId="0" applyNumberFormat="0" applyFill="0" applyBorder="0" applyAlignment="0" applyProtection="0"/>
  </cellStyleXfs>
  <cellXfs count="274">
    <xf numFmtId="0" fontId="0" fillId="0" borderId="0" xfId="0"/>
    <xf numFmtId="4" fontId="20" fillId="0" borderId="0" xfId="26" applyNumberFormat="1" applyFont="1" applyFill="1" applyBorder="1" applyAlignment="1" applyProtection="1">
      <alignment horizontal="right"/>
    </xf>
    <xf numFmtId="49" fontId="21" fillId="0" borderId="0" xfId="26" applyNumberFormat="1" applyFont="1" applyFill="1" applyBorder="1" applyAlignment="1" applyProtection="1">
      <alignment horizontal="right" vertical="top"/>
    </xf>
    <xf numFmtId="0" fontId="21" fillId="0" borderId="0" xfId="26" applyFont="1" applyFill="1" applyBorder="1" applyAlignment="1" applyProtection="1">
      <alignment horizontal="justify" vertical="top" wrapText="1"/>
    </xf>
    <xf numFmtId="0" fontId="21" fillId="0" borderId="11" xfId="26" applyFont="1" applyFill="1" applyBorder="1" applyAlignment="1" applyProtection="1">
      <alignment horizontal="left" vertical="top" wrapText="1"/>
    </xf>
    <xf numFmtId="0" fontId="20" fillId="0" borderId="11" xfId="26" applyFont="1" applyFill="1" applyBorder="1" applyAlignment="1" applyProtection="1">
      <alignment horizontal="center"/>
    </xf>
    <xf numFmtId="0" fontId="20" fillId="0" borderId="0" xfId="26" applyFont="1" applyFill="1" applyBorder="1" applyAlignment="1" applyProtection="1">
      <alignment horizontal="center"/>
    </xf>
    <xf numFmtId="0" fontId="21" fillId="0" borderId="0" xfId="26" applyFont="1" applyFill="1" applyBorder="1" applyAlignment="1" applyProtection="1">
      <alignment horizontal="center" vertical="center"/>
    </xf>
    <xf numFmtId="1" fontId="20" fillId="0" borderId="0" xfId="26" applyNumberFormat="1" applyFont="1" applyFill="1" applyBorder="1" applyAlignment="1" applyProtection="1">
      <alignment horizontal="right" vertical="top"/>
    </xf>
    <xf numFmtId="49" fontId="21" fillId="0" borderId="0" xfId="30" applyNumberFormat="1" applyFont="1" applyFill="1" applyBorder="1" applyAlignment="1" applyProtection="1">
      <alignment horizontal="right" vertical="top"/>
    </xf>
    <xf numFmtId="0" fontId="21" fillId="0" borderId="0" xfId="30" applyFont="1" applyFill="1" applyBorder="1" applyAlignment="1" applyProtection="1">
      <alignment horizontal="justify" vertical="top" wrapText="1"/>
    </xf>
    <xf numFmtId="0" fontId="20" fillId="0" borderId="0" xfId="30" applyFont="1" applyFill="1" applyBorder="1" applyAlignment="1" applyProtection="1">
      <alignment horizontal="center"/>
    </xf>
    <xf numFmtId="49" fontId="20" fillId="0" borderId="0" xfId="30" applyNumberFormat="1" applyFont="1" applyFill="1" applyBorder="1" applyAlignment="1" applyProtection="1">
      <alignment horizontal="right" vertical="top"/>
    </xf>
    <xf numFmtId="0" fontId="21" fillId="0" borderId="11" xfId="30" applyFont="1" applyFill="1" applyBorder="1" applyAlignment="1" applyProtection="1">
      <alignment horizontal="left" vertical="top" wrapText="1"/>
    </xf>
    <xf numFmtId="0" fontId="20" fillId="0" borderId="11" xfId="30" applyFont="1" applyFill="1" applyBorder="1" applyAlignment="1" applyProtection="1">
      <alignment horizontal="center"/>
    </xf>
    <xf numFmtId="0" fontId="21" fillId="0" borderId="0" xfId="30" applyFont="1" applyFill="1" applyBorder="1" applyAlignment="1" applyProtection="1">
      <alignment horizontal="left" vertical="top" wrapText="1"/>
    </xf>
    <xf numFmtId="49" fontId="21" fillId="0" borderId="0" xfId="27" applyNumberFormat="1" applyFont="1" applyFill="1" applyBorder="1" applyAlignment="1" applyProtection="1">
      <alignment horizontal="right" vertical="top"/>
    </xf>
    <xf numFmtId="4" fontId="21" fillId="0" borderId="0" xfId="29" applyNumberFormat="1" applyFont="1" applyFill="1" applyBorder="1" applyAlignment="1" applyProtection="1">
      <alignment horizontal="justify" vertical="top" wrapText="1"/>
    </xf>
    <xf numFmtId="0" fontId="20" fillId="0" borderId="0" xfId="27" applyFont="1" applyFill="1" applyBorder="1" applyAlignment="1" applyProtection="1">
      <alignment horizontal="center"/>
    </xf>
    <xf numFmtId="49" fontId="20" fillId="0" borderId="0" xfId="27" applyNumberFormat="1" applyFont="1" applyFill="1" applyBorder="1" applyAlignment="1" applyProtection="1">
      <alignment horizontal="right" vertical="top"/>
    </xf>
    <xf numFmtId="0" fontId="20" fillId="0" borderId="0" xfId="27" applyFont="1" applyFill="1" applyBorder="1" applyAlignment="1" applyProtection="1">
      <alignment horizontal="justify" vertical="top" wrapText="1"/>
    </xf>
    <xf numFmtId="0" fontId="21" fillId="0" borderId="11" xfId="27" applyFont="1" applyFill="1" applyBorder="1" applyAlignment="1" applyProtection="1">
      <alignment horizontal="left" vertical="top" wrapText="1"/>
    </xf>
    <xf numFmtId="0" fontId="20" fillId="0" borderId="11" xfId="27" applyFont="1" applyFill="1" applyBorder="1" applyAlignment="1" applyProtection="1">
      <alignment horizontal="center"/>
    </xf>
    <xf numFmtId="49" fontId="21" fillId="0" borderId="0" xfId="28" applyNumberFormat="1" applyFont="1" applyFill="1" applyBorder="1" applyAlignment="1" applyProtection="1">
      <alignment horizontal="right" vertical="top"/>
    </xf>
    <xf numFmtId="0" fontId="21" fillId="0" borderId="0" xfId="28" applyFont="1" applyFill="1" applyBorder="1" applyAlignment="1" applyProtection="1">
      <alignment horizontal="justify" vertical="top" wrapText="1"/>
    </xf>
    <xf numFmtId="0" fontId="20" fillId="0" borderId="0" xfId="28" applyFont="1" applyFill="1" applyBorder="1" applyAlignment="1" applyProtection="1">
      <alignment horizontal="center"/>
    </xf>
    <xf numFmtId="49" fontId="20" fillId="0" borderId="0" xfId="28" applyNumberFormat="1" applyFont="1" applyFill="1" applyBorder="1" applyAlignment="1" applyProtection="1">
      <alignment horizontal="right" vertical="top"/>
    </xf>
    <xf numFmtId="0" fontId="20" fillId="0" borderId="11" xfId="28" applyFont="1" applyFill="1" applyBorder="1" applyAlignment="1" applyProtection="1">
      <alignment horizontal="center"/>
    </xf>
    <xf numFmtId="0" fontId="21" fillId="0" borderId="0" xfId="28" applyFont="1" applyFill="1" applyBorder="1" applyAlignment="1" applyProtection="1">
      <alignment horizontal="left" vertical="top" wrapText="1"/>
    </xf>
    <xf numFmtId="4" fontId="20" fillId="0" borderId="11" xfId="26" applyNumberFormat="1" applyFont="1" applyFill="1" applyBorder="1" applyAlignment="1" applyProtection="1">
      <alignment horizontal="right"/>
    </xf>
    <xf numFmtId="4" fontId="21" fillId="0" borderId="11" xfId="26" applyNumberFormat="1" applyFont="1" applyFill="1" applyBorder="1" applyAlignment="1" applyProtection="1">
      <alignment horizontal="right"/>
    </xf>
    <xf numFmtId="4" fontId="21" fillId="0" borderId="0" xfId="26" applyNumberFormat="1" applyFont="1" applyFill="1" applyBorder="1" applyAlignment="1" applyProtection="1">
      <alignment horizontal="right" vertical="center"/>
    </xf>
    <xf numFmtId="4" fontId="20" fillId="0" borderId="0" xfId="26" applyNumberFormat="1" applyFont="1" applyFill="1" applyBorder="1" applyAlignment="1" applyProtection="1"/>
    <xf numFmtId="4" fontId="20" fillId="0" borderId="0" xfId="30" applyNumberFormat="1" applyFont="1" applyFill="1" applyBorder="1" applyAlignment="1" applyProtection="1">
      <alignment horizontal="right"/>
    </xf>
    <xf numFmtId="4" fontId="20" fillId="0" borderId="11" xfId="30" applyNumberFormat="1" applyFont="1" applyFill="1" applyBorder="1" applyAlignment="1" applyProtection="1">
      <alignment horizontal="right"/>
    </xf>
    <xf numFmtId="4" fontId="21" fillId="0" borderId="11" xfId="30" applyNumberFormat="1" applyFont="1" applyFill="1" applyBorder="1" applyAlignment="1" applyProtection="1">
      <alignment horizontal="right"/>
    </xf>
    <xf numFmtId="4" fontId="21" fillId="0" borderId="0" xfId="30" applyNumberFormat="1" applyFont="1" applyFill="1" applyBorder="1" applyAlignment="1" applyProtection="1">
      <alignment horizontal="right"/>
    </xf>
    <xf numFmtId="4" fontId="20" fillId="0" borderId="0" xfId="27" applyNumberFormat="1" applyFont="1" applyFill="1" applyBorder="1" applyAlignment="1" applyProtection="1">
      <alignment horizontal="right"/>
    </xf>
    <xf numFmtId="4" fontId="20" fillId="0" borderId="11" xfId="27" applyNumberFormat="1" applyFont="1" applyFill="1" applyBorder="1" applyAlignment="1" applyProtection="1">
      <alignment horizontal="right"/>
    </xf>
    <xf numFmtId="4" fontId="21" fillId="0" borderId="11" xfId="27" applyNumberFormat="1" applyFont="1" applyFill="1" applyBorder="1" applyAlignment="1" applyProtection="1">
      <alignment horizontal="right"/>
    </xf>
    <xf numFmtId="4" fontId="20" fillId="0" borderId="0" xfId="28" applyNumberFormat="1" applyFont="1" applyFill="1" applyBorder="1" applyAlignment="1" applyProtection="1">
      <alignment horizontal="right"/>
    </xf>
    <xf numFmtId="4" fontId="20" fillId="0" borderId="11" xfId="28" applyNumberFormat="1" applyFont="1" applyFill="1" applyBorder="1" applyAlignment="1" applyProtection="1">
      <alignment horizontal="right"/>
    </xf>
    <xf numFmtId="4" fontId="21" fillId="0" borderId="11" xfId="28" applyNumberFormat="1" applyFont="1" applyFill="1" applyBorder="1" applyAlignment="1" applyProtection="1">
      <alignment horizontal="right"/>
    </xf>
    <xf numFmtId="4" fontId="21" fillId="0" borderId="0" xfId="28" applyNumberFormat="1" applyFont="1" applyFill="1" applyBorder="1" applyAlignment="1" applyProtection="1">
      <alignment horizontal="right"/>
    </xf>
    <xf numFmtId="4" fontId="20" fillId="0" borderId="0" xfId="30" applyNumberFormat="1" applyFont="1" applyFill="1" applyBorder="1" applyProtection="1"/>
    <xf numFmtId="3" fontId="20" fillId="0" borderId="0" xfId="0" applyNumberFormat="1" applyFont="1" applyFill="1"/>
    <xf numFmtId="4" fontId="25" fillId="0" borderId="0" xfId="0" applyNumberFormat="1" applyFont="1" applyFill="1" applyAlignment="1">
      <alignment horizontal="center" vertical="center" wrapText="1"/>
    </xf>
    <xf numFmtId="164" fontId="24" fillId="0" borderId="0" xfId="26" applyNumberFormat="1" applyFont="1" applyFill="1" applyBorder="1" applyAlignment="1" applyProtection="1"/>
    <xf numFmtId="0" fontId="26" fillId="0" borderId="0" xfId="0" applyFont="1"/>
    <xf numFmtId="0" fontId="24" fillId="0" borderId="0" xfId="0" applyFont="1"/>
    <xf numFmtId="0" fontId="26" fillId="0" borderId="0" xfId="0" applyFont="1" applyAlignment="1">
      <alignment horizontal="right"/>
    </xf>
    <xf numFmtId="4" fontId="24" fillId="0" borderId="0" xfId="0" applyNumberFormat="1" applyFont="1" applyFill="1" applyBorder="1" applyAlignment="1">
      <alignment vertical="center" wrapText="1"/>
    </xf>
    <xf numFmtId="4" fontId="25" fillId="0" borderId="14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Border="1" applyAlignment="1">
      <alignment horizontal="center" vertical="center" wrapText="1"/>
    </xf>
    <xf numFmtId="49" fontId="20" fillId="0" borderId="0" xfId="26" applyNumberFormat="1" applyFont="1" applyFill="1" applyBorder="1" applyAlignment="1" applyProtection="1">
      <alignment horizontal="right" vertical="top"/>
    </xf>
    <xf numFmtId="4" fontId="20" fillId="0" borderId="0" xfId="0" applyNumberFormat="1" applyFont="1" applyFill="1"/>
    <xf numFmtId="4" fontId="24" fillId="0" borderId="0" xfId="0" applyNumberFormat="1" applyFont="1" applyFill="1"/>
    <xf numFmtId="164" fontId="24" fillId="0" borderId="0" xfId="30" applyNumberFormat="1" applyFont="1" applyFill="1" applyBorder="1" applyProtection="1"/>
    <xf numFmtId="164" fontId="24" fillId="0" borderId="0" xfId="28" applyNumberFormat="1" applyFont="1" applyFill="1" applyBorder="1" applyAlignment="1" applyProtection="1"/>
    <xf numFmtId="4" fontId="24" fillId="0" borderId="0" xfId="28" applyNumberFormat="1" applyFont="1" applyFill="1" applyBorder="1" applyAlignment="1" applyProtection="1"/>
    <xf numFmtId="4" fontId="24" fillId="0" borderId="0" xfId="0" applyNumberFormat="1" applyFont="1"/>
    <xf numFmtId="4" fontId="26" fillId="0" borderId="0" xfId="0" applyNumberFormat="1" applyFont="1"/>
    <xf numFmtId="0" fontId="26" fillId="0" borderId="12" xfId="0" applyFont="1" applyBorder="1"/>
    <xf numFmtId="4" fontId="26" fillId="0" borderId="11" xfId="0" applyNumberFormat="1" applyFont="1" applyBorder="1"/>
    <xf numFmtId="4" fontId="26" fillId="0" borderId="13" xfId="0" applyNumberFormat="1" applyFont="1" applyBorder="1"/>
    <xf numFmtId="4" fontId="26" fillId="0" borderId="12" xfId="0" applyNumberFormat="1" applyFont="1" applyBorder="1"/>
    <xf numFmtId="10" fontId="26" fillId="0" borderId="13" xfId="0" applyNumberFormat="1" applyFont="1" applyBorder="1"/>
    <xf numFmtId="0" fontId="24" fillId="0" borderId="0" xfId="0" applyFont="1" applyAlignment="1">
      <alignment horizontal="right"/>
    </xf>
    <xf numFmtId="4" fontId="26" fillId="0" borderId="0" xfId="0" applyNumberFormat="1" applyFont="1" applyAlignment="1">
      <alignment horizontal="center"/>
    </xf>
    <xf numFmtId="4" fontId="25" fillId="0" borderId="0" xfId="0" applyNumberFormat="1" applyFont="1" applyFill="1"/>
    <xf numFmtId="4" fontId="26" fillId="0" borderId="0" xfId="0" applyNumberFormat="1" applyFont="1" applyFill="1"/>
    <xf numFmtId="4" fontId="25" fillId="0" borderId="0" xfId="0" applyNumberFormat="1" applyFont="1" applyFill="1" applyAlignment="1">
      <alignment horizontal="right"/>
    </xf>
    <xf numFmtId="4" fontId="24" fillId="0" borderId="0" xfId="0" applyNumberFormat="1" applyFont="1" applyFill="1" applyAlignment="1">
      <alignment horizontal="right"/>
    </xf>
    <xf numFmtId="4" fontId="25" fillId="0" borderId="12" xfId="0" applyNumberFormat="1" applyFont="1" applyFill="1" applyBorder="1" applyAlignment="1">
      <alignment vertical="center" wrapText="1"/>
    </xf>
    <xf numFmtId="0" fontId="24" fillId="0" borderId="0" xfId="0" applyFont="1" applyFill="1" applyBorder="1" applyAlignment="1">
      <alignment horizontal="right" vertical="center" wrapText="1"/>
    </xf>
    <xf numFmtId="4" fontId="24" fillId="0" borderId="0" xfId="0" applyNumberFormat="1" applyFont="1" applyFill="1" applyAlignment="1">
      <alignment horizontal="right" vertical="center" wrapText="1"/>
    </xf>
    <xf numFmtId="4" fontId="25" fillId="0" borderId="12" xfId="0" applyNumberFormat="1" applyFont="1" applyFill="1" applyBorder="1" applyAlignment="1">
      <alignment horizontal="center" vertical="center" wrapText="1"/>
    </xf>
    <xf numFmtId="0" fontId="21" fillId="0" borderId="0" xfId="26" applyFont="1" applyFill="1" applyBorder="1" applyAlignment="1" applyProtection="1">
      <alignment horizontal="left" vertical="top" wrapText="1"/>
    </xf>
    <xf numFmtId="4" fontId="21" fillId="0" borderId="0" xfId="26" applyNumberFormat="1" applyFont="1" applyFill="1" applyBorder="1" applyAlignment="1" applyProtection="1">
      <alignment horizontal="right"/>
    </xf>
    <xf numFmtId="49" fontId="24" fillId="0" borderId="0" xfId="0" applyNumberFormat="1" applyFont="1" applyAlignment="1" applyProtection="1">
      <alignment horizontal="justify" vertical="top" wrapText="1"/>
    </xf>
    <xf numFmtId="0" fontId="24" fillId="0" borderId="0" xfId="0" applyFont="1" applyAlignment="1" applyProtection="1">
      <alignment horizontal="center"/>
    </xf>
    <xf numFmtId="4" fontId="20" fillId="0" borderId="0" xfId="0" applyNumberFormat="1" applyFont="1" applyAlignment="1" applyProtection="1"/>
    <xf numFmtId="4" fontId="20" fillId="0" borderId="0" xfId="0" applyNumberFormat="1" applyFont="1" applyAlignment="1" applyProtection="1">
      <alignment horizontal="right"/>
    </xf>
    <xf numFmtId="4" fontId="25" fillId="0" borderId="0" xfId="0" applyNumberFormat="1" applyFont="1" applyFill="1" applyAlignment="1">
      <alignment wrapText="1"/>
    </xf>
    <xf numFmtId="4" fontId="25" fillId="0" borderId="0" xfId="0" applyNumberFormat="1" applyFont="1" applyFill="1" applyBorder="1" applyAlignment="1">
      <alignment wrapText="1"/>
    </xf>
    <xf numFmtId="4" fontId="25" fillId="0" borderId="0" xfId="0" applyNumberFormat="1" applyFont="1" applyFill="1" applyAlignment="1">
      <alignment horizontal="right" vertical="center"/>
    </xf>
    <xf numFmtId="4" fontId="25" fillId="0" borderId="13" xfId="0" applyNumberFormat="1" applyFont="1" applyFill="1" applyBorder="1" applyAlignment="1">
      <alignment horizontal="right" vertical="center" wrapText="1"/>
    </xf>
    <xf numFmtId="4" fontId="25" fillId="24" borderId="0" xfId="0" applyNumberFormat="1" applyFont="1" applyFill="1"/>
    <xf numFmtId="4" fontId="26" fillId="0" borderId="0" xfId="0" applyNumberFormat="1" applyFont="1" applyFill="1" applyAlignment="1">
      <alignment horizontal="right"/>
    </xf>
    <xf numFmtId="4" fontId="24" fillId="0" borderId="0" xfId="0" applyNumberFormat="1" applyFont="1" applyFill="1" applyAlignment="1">
      <alignment horizontal="right" vertical="center"/>
    </xf>
    <xf numFmtId="4" fontId="24" fillId="0" borderId="0" xfId="0" applyNumberFormat="1" applyFont="1" applyFill="1" applyBorder="1" applyAlignment="1">
      <alignment horizontal="right" vertical="center" wrapText="1"/>
    </xf>
    <xf numFmtId="4" fontId="25" fillId="0" borderId="0" xfId="0" applyNumberFormat="1" applyFont="1" applyFill="1" applyAlignment="1">
      <alignment horizontal="right" vertical="center" wrapText="1"/>
    </xf>
    <xf numFmtId="1" fontId="25" fillId="0" borderId="0" xfId="0" applyNumberFormat="1" applyFont="1" applyFill="1" applyAlignment="1">
      <alignment horizontal="right"/>
    </xf>
    <xf numFmtId="4" fontId="24" fillId="0" borderId="0" xfId="0" applyNumberFormat="1" applyFont="1" applyFill="1" applyAlignment="1">
      <alignment horizontal="left" vertical="top"/>
    </xf>
    <xf numFmtId="4" fontId="26" fillId="0" borderId="11" xfId="0" applyNumberFormat="1" applyFont="1" applyFill="1" applyBorder="1"/>
    <xf numFmtId="4" fontId="24" fillId="0" borderId="11" xfId="0" applyNumberFormat="1" applyFont="1" applyFill="1" applyBorder="1"/>
    <xf numFmtId="4" fontId="26" fillId="0" borderId="11" xfId="0" applyNumberFormat="1" applyFont="1" applyFill="1" applyBorder="1" applyAlignment="1">
      <alignment horizontal="right"/>
    </xf>
    <xf numFmtId="0" fontId="24" fillId="0" borderId="0" xfId="0" applyFont="1" applyFill="1" applyBorder="1" applyAlignment="1">
      <alignment horizontal="center" vertical="center" wrapText="1"/>
    </xf>
    <xf numFmtId="4" fontId="27" fillId="0" borderId="0" xfId="0" applyNumberFormat="1" applyFont="1" applyFill="1"/>
    <xf numFmtId="4" fontId="24" fillId="0" borderId="0" xfId="0" applyNumberFormat="1" applyFont="1" applyFill="1" applyBorder="1" applyAlignment="1">
      <alignment wrapText="1"/>
    </xf>
    <xf numFmtId="4" fontId="24" fillId="0" borderId="0" xfId="0" applyNumberFormat="1" applyFont="1" applyFill="1" applyAlignment="1">
      <alignment wrapText="1"/>
    </xf>
    <xf numFmtId="4" fontId="20" fillId="0" borderId="0" xfId="0" applyNumberFormat="1" applyFont="1" applyFill="1" applyAlignment="1" applyProtection="1">
      <alignment horizontal="right"/>
    </xf>
    <xf numFmtId="0" fontId="21" fillId="0" borderId="11" xfId="28" applyFont="1" applyFill="1" applyBorder="1" applyAlignment="1" applyProtection="1">
      <alignment horizontal="left" vertical="top" wrapText="1"/>
    </xf>
    <xf numFmtId="0" fontId="20" fillId="0" borderId="0" xfId="28" applyFont="1" applyFill="1" applyBorder="1" applyAlignment="1" applyProtection="1">
      <alignment horizontal="justify" vertical="top" wrapText="1"/>
    </xf>
    <xf numFmtId="0" fontId="20" fillId="0" borderId="0" xfId="0" applyFont="1" applyFill="1" applyBorder="1" applyAlignment="1" applyProtection="1"/>
    <xf numFmtId="4" fontId="20" fillId="0" borderId="0" xfId="0" applyNumberFormat="1" applyFont="1" applyFill="1" applyBorder="1" applyAlignment="1" applyProtection="1"/>
    <xf numFmtId="0" fontId="21" fillId="0" borderId="0" xfId="0" applyFont="1" applyFill="1" applyBorder="1" applyAlignment="1" applyProtection="1">
      <alignment horizontal="center" vertical="top"/>
    </xf>
    <xf numFmtId="0" fontId="21" fillId="0" borderId="0" xfId="0" applyFont="1" applyFill="1" applyBorder="1" applyAlignment="1" applyProtection="1">
      <alignment vertical="top" wrapText="1"/>
    </xf>
    <xf numFmtId="0" fontId="20" fillId="0" borderId="0" xfId="0" applyFont="1" applyFill="1" applyBorder="1" applyAlignment="1" applyProtection="1">
      <alignment horizontal="center"/>
    </xf>
    <xf numFmtId="4" fontId="20" fillId="0" borderId="0" xfId="0" applyNumberFormat="1" applyFont="1" applyFill="1" applyBorder="1" applyAlignment="1" applyProtection="1">
      <alignment horizontal="right"/>
    </xf>
    <xf numFmtId="49" fontId="21" fillId="0" borderId="0" xfId="0" applyNumberFormat="1" applyFont="1" applyFill="1" applyBorder="1" applyAlignment="1" applyProtection="1">
      <alignment horizontal="right" vertical="top"/>
    </xf>
    <xf numFmtId="49" fontId="21" fillId="0" borderId="0" xfId="0" applyNumberFormat="1" applyFont="1" applyFill="1" applyBorder="1" applyAlignment="1" applyProtection="1">
      <alignment horizontal="left" vertical="top"/>
    </xf>
    <xf numFmtId="0" fontId="21" fillId="0" borderId="0" xfId="0" applyFont="1" applyFill="1" applyBorder="1" applyAlignment="1" applyProtection="1">
      <alignment horizontal="center"/>
    </xf>
    <xf numFmtId="49" fontId="21" fillId="0" borderId="0" xfId="0" applyNumberFormat="1" applyFont="1" applyFill="1" applyBorder="1" applyAlignment="1" applyProtection="1">
      <alignment vertical="top" wrapText="1"/>
    </xf>
    <xf numFmtId="49" fontId="21" fillId="0" borderId="0" xfId="0" applyNumberFormat="1" applyFont="1" applyFill="1" applyBorder="1" applyAlignment="1" applyProtection="1">
      <alignment horizontal="right"/>
    </xf>
    <xf numFmtId="49" fontId="21" fillId="0" borderId="0" xfId="0" applyNumberFormat="1" applyFont="1" applyFill="1" applyBorder="1" applyAlignment="1" applyProtection="1">
      <alignment vertical="top"/>
    </xf>
    <xf numFmtId="0" fontId="21" fillId="0" borderId="0" xfId="0" applyFont="1" applyFill="1" applyBorder="1" applyAlignment="1" applyProtection="1"/>
    <xf numFmtId="4" fontId="21" fillId="0" borderId="0" xfId="0" applyNumberFormat="1" applyFont="1" applyFill="1" applyBorder="1" applyAlignment="1" applyProtection="1"/>
    <xf numFmtId="0" fontId="21" fillId="0" borderId="10" xfId="0" applyFont="1" applyFill="1" applyBorder="1" applyAlignment="1" applyProtection="1">
      <alignment horizontal="center"/>
    </xf>
    <xf numFmtId="4" fontId="21" fillId="0" borderId="10" xfId="0" applyNumberFormat="1" applyFont="1" applyFill="1" applyBorder="1" applyAlignment="1" applyProtection="1">
      <alignment horizontal="right"/>
    </xf>
    <xf numFmtId="4" fontId="20" fillId="0" borderId="10" xfId="0" applyNumberFormat="1" applyFont="1" applyFill="1" applyBorder="1" applyAlignment="1" applyProtection="1">
      <alignment horizontal="right"/>
    </xf>
    <xf numFmtId="0" fontId="20" fillId="0" borderId="0" xfId="0" applyFont="1" applyFill="1" applyBorder="1" applyAlignment="1" applyProtection="1">
      <alignment vertical="top" wrapText="1"/>
    </xf>
    <xf numFmtId="4" fontId="21" fillId="0" borderId="11" xfId="0" applyNumberFormat="1" applyFont="1" applyFill="1" applyBorder="1" applyAlignment="1" applyProtection="1">
      <alignment horizontal="right"/>
    </xf>
    <xf numFmtId="0" fontId="20" fillId="0" borderId="0" xfId="0" applyFont="1" applyFill="1" applyBorder="1" applyAlignment="1" applyProtection="1">
      <alignment horizontal="right" vertical="top"/>
    </xf>
    <xf numFmtId="0" fontId="20" fillId="0" borderId="0" xfId="0" applyFont="1" applyFill="1" applyAlignment="1" applyProtection="1"/>
    <xf numFmtId="0" fontId="24" fillId="0" borderId="0" xfId="26" applyFont="1" applyFill="1" applyBorder="1" applyAlignment="1" applyProtection="1">
      <alignment horizontal="center"/>
    </xf>
    <xf numFmtId="0" fontId="24" fillId="0" borderId="0" xfId="26" applyFont="1" applyFill="1" applyBorder="1" applyAlignment="1" applyProtection="1">
      <alignment horizontal="justify" vertical="top" wrapText="1"/>
    </xf>
    <xf numFmtId="0" fontId="20" fillId="0" borderId="0" xfId="0" applyFont="1" applyFill="1" applyBorder="1" applyAlignment="1" applyProtection="1">
      <alignment horizontal="justify" vertical="top" wrapText="1"/>
    </xf>
    <xf numFmtId="0" fontId="20" fillId="0" borderId="0" xfId="0" applyFont="1" applyFill="1" applyBorder="1" applyAlignment="1" applyProtection="1">
      <alignment vertical="top"/>
    </xf>
    <xf numFmtId="0" fontId="24" fillId="0" borderId="0" xfId="30" applyFont="1" applyFill="1" applyBorder="1" applyAlignment="1" applyProtection="1">
      <alignment horizontal="justify" vertical="top" wrapText="1"/>
    </xf>
    <xf numFmtId="0" fontId="24" fillId="0" borderId="0" xfId="30" applyFont="1" applyFill="1" applyBorder="1" applyAlignment="1" applyProtection="1">
      <alignment horizontal="center"/>
    </xf>
    <xf numFmtId="0" fontId="26" fillId="0" borderId="0" xfId="0" applyFont="1" applyAlignment="1"/>
    <xf numFmtId="165" fontId="24" fillId="0" borderId="0" xfId="0" applyNumberFormat="1" applyFont="1"/>
    <xf numFmtId="0" fontId="24" fillId="0" borderId="0" xfId="0" applyFont="1" applyAlignment="1" applyProtection="1">
      <alignment horizontal="justify" vertical="top" wrapText="1"/>
    </xf>
    <xf numFmtId="0" fontId="26" fillId="0" borderId="0" xfId="0" applyFont="1" applyAlignment="1">
      <alignment horizontal="center"/>
    </xf>
    <xf numFmtId="4" fontId="21" fillId="0" borderId="0" xfId="0" applyNumberFormat="1" applyFont="1" applyFill="1"/>
    <xf numFmtId="1" fontId="25" fillId="0" borderId="0" xfId="0" applyNumberFormat="1" applyFont="1" applyFill="1" applyBorder="1" applyAlignment="1">
      <alignment horizontal="right" vertical="center" wrapText="1"/>
    </xf>
    <xf numFmtId="4" fontId="24" fillId="0" borderId="0" xfId="0" applyNumberFormat="1" applyFont="1" applyFill="1" applyBorder="1" applyAlignment="1">
      <alignment horizontal="right" wrapText="1"/>
    </xf>
    <xf numFmtId="4" fontId="20" fillId="0" borderId="10" xfId="0" applyNumberFormat="1" applyFont="1" applyFill="1" applyBorder="1" applyAlignment="1" applyProtection="1"/>
    <xf numFmtId="4" fontId="21" fillId="0" borderId="0" xfId="0" applyNumberFormat="1" applyFont="1" applyFill="1" applyBorder="1" applyAlignment="1" applyProtection="1">
      <alignment horizontal="right"/>
    </xf>
    <xf numFmtId="10" fontId="20" fillId="0" borderId="0" xfId="0" applyNumberFormat="1" applyFont="1" applyFill="1" applyBorder="1" applyAlignment="1" applyProtection="1">
      <alignment horizontal="right"/>
    </xf>
    <xf numFmtId="4" fontId="21" fillId="0" borderId="0" xfId="0" applyNumberFormat="1" applyFont="1" applyFill="1" applyBorder="1" applyAlignment="1" applyProtection="1">
      <alignment horizontal="left"/>
    </xf>
    <xf numFmtId="4" fontId="21" fillId="0" borderId="11" xfId="0" applyNumberFormat="1" applyFont="1" applyFill="1" applyBorder="1" applyAlignment="1" applyProtection="1">
      <alignment horizontal="left"/>
    </xf>
    <xf numFmtId="4" fontId="25" fillId="0" borderId="0" xfId="0" applyNumberFormat="1" applyFont="1" applyFill="1" applyAlignment="1">
      <alignment horizontal="left" vertical="top"/>
    </xf>
    <xf numFmtId="0" fontId="24" fillId="0" borderId="0" xfId="0" applyFont="1" applyBorder="1" applyAlignment="1">
      <alignment horizontal="center" vertical="center" wrapText="1"/>
    </xf>
    <xf numFmtId="4" fontId="20" fillId="0" borderId="0" xfId="0" applyNumberFormat="1" applyFont="1" applyFill="1" applyBorder="1" applyAlignment="1" applyProtection="1">
      <alignment horizontal="center" wrapText="1"/>
    </xf>
    <xf numFmtId="4" fontId="20" fillId="0" borderId="0" xfId="0" applyNumberFormat="1" applyFont="1" applyFill="1" applyBorder="1" applyAlignment="1" applyProtection="1">
      <alignment horizontal="center"/>
    </xf>
    <xf numFmtId="0" fontId="24" fillId="0" borderId="0" xfId="0" applyFont="1" applyFill="1" applyBorder="1" applyAlignment="1" applyProtection="1">
      <alignment horizontal="justify" vertical="top" wrapText="1"/>
    </xf>
    <xf numFmtId="4" fontId="20" fillId="0" borderId="0" xfId="26" applyNumberFormat="1" applyFont="1" applyFill="1" applyBorder="1" applyAlignment="1" applyProtection="1">
      <protection locked="0"/>
    </xf>
    <xf numFmtId="164" fontId="24" fillId="0" borderId="0" xfId="27" applyNumberFormat="1" applyFont="1" applyFill="1" applyBorder="1" applyAlignment="1" applyProtection="1"/>
    <xf numFmtId="164" fontId="24" fillId="0" borderId="0" xfId="27" applyNumberFormat="1" applyFont="1" applyFill="1" applyBorder="1" applyAlignment="1" applyProtection="1">
      <protection locked="0"/>
    </xf>
    <xf numFmtId="164" fontId="24" fillId="0" borderId="0" xfId="28" applyNumberFormat="1" applyFont="1" applyFill="1" applyBorder="1" applyAlignment="1" applyProtection="1">
      <alignment horizontal="right"/>
    </xf>
    <xf numFmtId="164" fontId="24" fillId="0" borderId="0" xfId="28" applyNumberFormat="1" applyFont="1" applyFill="1" applyBorder="1" applyAlignment="1" applyProtection="1">
      <alignment horizontal="right"/>
      <protection locked="0"/>
    </xf>
    <xf numFmtId="164" fontId="24" fillId="0" borderId="0" xfId="28" applyNumberFormat="1" applyFont="1" applyFill="1" applyBorder="1" applyAlignment="1" applyProtection="1">
      <protection locked="0"/>
    </xf>
    <xf numFmtId="4" fontId="25" fillId="0" borderId="15" xfId="0" applyNumberFormat="1" applyFont="1" applyFill="1" applyBorder="1" applyAlignment="1">
      <alignment horizontal="center" vertical="center" wrapText="1"/>
    </xf>
    <xf numFmtId="4" fontId="25" fillId="0" borderId="13" xfId="0" applyNumberFormat="1" applyFont="1" applyFill="1" applyBorder="1" applyAlignment="1">
      <alignment horizontal="center" vertical="center" wrapText="1"/>
    </xf>
    <xf numFmtId="4" fontId="25" fillId="0" borderId="12" xfId="0" applyNumberFormat="1" applyFont="1" applyFill="1" applyBorder="1"/>
    <xf numFmtId="4" fontId="25" fillId="0" borderId="13" xfId="0" applyNumberFormat="1" applyFont="1" applyFill="1" applyBorder="1" applyAlignment="1">
      <alignment horizontal="right" vertical="center"/>
    </xf>
    <xf numFmtId="4" fontId="24" fillId="0" borderId="11" xfId="0" applyNumberFormat="1" applyFont="1" applyFill="1" applyBorder="1" applyAlignment="1">
      <alignment horizontal="right"/>
    </xf>
    <xf numFmtId="9" fontId="24" fillId="0" borderId="0" xfId="0" applyNumberFormat="1" applyFont="1" applyFill="1"/>
    <xf numFmtId="0" fontId="20" fillId="0" borderId="0" xfId="26" applyFont="1" applyFill="1" applyBorder="1" applyAlignment="1" applyProtection="1">
      <alignment horizontal="justify" vertical="top" wrapText="1"/>
    </xf>
    <xf numFmtId="4" fontId="25" fillId="0" borderId="17" xfId="0" applyNumberFormat="1" applyFont="1" applyFill="1" applyBorder="1" applyAlignment="1">
      <alignment horizontal="center" vertical="center" wrapText="1"/>
    </xf>
    <xf numFmtId="4" fontId="25" fillId="0" borderId="16" xfId="0" applyNumberFormat="1" applyFont="1" applyFill="1" applyBorder="1" applyAlignment="1">
      <alignment horizontal="center" vertical="center" wrapText="1"/>
    </xf>
    <xf numFmtId="4" fontId="25" fillId="0" borderId="18" xfId="0" applyNumberFormat="1" applyFont="1" applyFill="1" applyBorder="1" applyAlignment="1">
      <alignment horizontal="center" vertical="center" wrapText="1"/>
    </xf>
    <xf numFmtId="4" fontId="25" fillId="0" borderId="11" xfId="0" applyNumberFormat="1" applyFont="1" applyFill="1" applyBorder="1" applyAlignment="1">
      <alignment horizontal="center" vertical="center" wrapText="1"/>
    </xf>
    <xf numFmtId="4" fontId="25" fillId="0" borderId="20" xfId="0" applyNumberFormat="1" applyFont="1" applyFill="1" applyBorder="1" applyAlignment="1">
      <alignment horizontal="center" vertical="center" wrapText="1"/>
    </xf>
    <xf numFmtId="4" fontId="25" fillId="0" borderId="19" xfId="0" applyNumberFormat="1" applyFont="1" applyFill="1" applyBorder="1" applyAlignment="1">
      <alignment horizontal="center" vertical="center" wrapText="1"/>
    </xf>
    <xf numFmtId="4" fontId="0" fillId="0" borderId="0" xfId="0" applyNumberFormat="1" applyFont="1"/>
    <xf numFmtId="166" fontId="24" fillId="0" borderId="0" xfId="0" applyNumberFormat="1" applyFont="1" applyFill="1" applyAlignment="1">
      <alignment horizontal="right"/>
    </xf>
    <xf numFmtId="164" fontId="24" fillId="0" borderId="0" xfId="26" applyNumberFormat="1" applyFont="1" applyFill="1" applyBorder="1" applyAlignment="1" applyProtection="1">
      <protection locked="0"/>
    </xf>
    <xf numFmtId="49" fontId="24" fillId="0" borderId="0" xfId="0" applyNumberFormat="1" applyFont="1" applyFill="1" applyAlignment="1" applyProtection="1">
      <alignment horizontal="justify" vertical="top" wrapText="1"/>
    </xf>
    <xf numFmtId="0" fontId="24" fillId="0" borderId="0" xfId="0" applyFont="1" applyFill="1" applyAlignment="1" applyProtection="1">
      <alignment horizontal="center"/>
    </xf>
    <xf numFmtId="4" fontId="20" fillId="0" borderId="0" xfId="0" applyNumberFormat="1" applyFont="1" applyFill="1" applyAlignment="1" applyProtection="1"/>
    <xf numFmtId="4" fontId="24" fillId="0" borderId="0" xfId="0" applyNumberFormat="1" applyFont="1" applyAlignment="1" applyProtection="1"/>
    <xf numFmtId="4" fontId="24" fillId="0" borderId="0" xfId="0" applyNumberFormat="1" applyFont="1" applyAlignment="1" applyProtection="1">
      <alignment horizontal="right"/>
      <protection locked="0"/>
    </xf>
    <xf numFmtId="4" fontId="24" fillId="0" borderId="0" xfId="0" applyNumberFormat="1" applyFont="1" applyAlignment="1" applyProtection="1">
      <alignment horizontal="right"/>
    </xf>
    <xf numFmtId="0" fontId="24" fillId="0" borderId="0" xfId="0" applyNumberFormat="1" applyFont="1" applyFill="1" applyBorder="1" applyAlignment="1" applyProtection="1">
      <alignment horizontal="justify" vertical="top" wrapText="1"/>
    </xf>
    <xf numFmtId="0" fontId="0" fillId="0" borderId="0" xfId="0" applyFont="1" applyAlignment="1" applyProtection="1">
      <alignment horizontal="justify" vertical="top" wrapText="1"/>
    </xf>
    <xf numFmtId="0" fontId="24" fillId="0" borderId="0" xfId="28" applyFont="1" applyFill="1" applyBorder="1" applyAlignment="1" applyProtection="1">
      <alignment horizontal="justify" vertical="top" wrapText="1"/>
    </xf>
    <xf numFmtId="0" fontId="21" fillId="0" borderId="0" xfId="0" applyFont="1" applyFill="1" applyBorder="1" applyAlignment="1" applyProtection="1">
      <alignment horizontal="right" vertical="top"/>
    </xf>
    <xf numFmtId="0" fontId="21" fillId="0" borderId="10" xfId="0" applyNumberFormat="1" applyFont="1" applyFill="1" applyBorder="1" applyAlignment="1" applyProtection="1">
      <alignment horizontal="right" vertical="top"/>
    </xf>
    <xf numFmtId="0" fontId="21" fillId="0" borderId="10" xfId="0" applyNumberFormat="1" applyFont="1" applyFill="1" applyBorder="1" applyAlignment="1" applyProtection="1">
      <alignment horizontal="left" vertical="top"/>
    </xf>
    <xf numFmtId="0" fontId="21" fillId="0" borderId="0" xfId="27" applyFont="1" applyFill="1" applyBorder="1" applyAlignment="1" applyProtection="1">
      <alignment horizontal="left" vertical="top" wrapText="1"/>
    </xf>
    <xf numFmtId="4" fontId="21" fillId="0" borderId="0" xfId="27" applyNumberFormat="1" applyFont="1" applyFill="1" applyBorder="1" applyAlignment="1" applyProtection="1">
      <alignment horizontal="right"/>
    </xf>
    <xf numFmtId="0" fontId="24" fillId="0" borderId="0" xfId="0" applyFont="1" applyFill="1" applyAlignment="1" applyProtection="1">
      <alignment horizontal="justify" vertical="top" wrapText="1"/>
    </xf>
    <xf numFmtId="0" fontId="24" fillId="0" borderId="0" xfId="27" applyFont="1" applyFill="1" applyBorder="1" applyAlignment="1" applyProtection="1">
      <alignment horizontal="justify" vertical="top" wrapText="1"/>
    </xf>
    <xf numFmtId="4" fontId="24" fillId="0" borderId="0" xfId="0" applyNumberFormat="1" applyFont="1" applyProtection="1"/>
    <xf numFmtId="0" fontId="24" fillId="0" borderId="0" xfId="28" applyFont="1" applyFill="1" applyBorder="1" applyAlignment="1" applyProtection="1">
      <alignment horizontal="center"/>
    </xf>
    <xf numFmtId="4" fontId="24" fillId="0" borderId="0" xfId="0" applyNumberFormat="1" applyFont="1" applyFill="1" applyBorder="1" applyAlignment="1" applyProtection="1">
      <alignment horizontal="right"/>
    </xf>
    <xf numFmtId="0" fontId="24" fillId="0" borderId="0" xfId="0" applyFont="1" applyBorder="1" applyAlignment="1" applyProtection="1">
      <alignment horizontal="justify" vertical="top" wrapText="1"/>
    </xf>
    <xf numFmtId="0" fontId="24" fillId="0" borderId="0" xfId="0" applyFont="1" applyFill="1" applyBorder="1" applyAlignment="1" applyProtection="1">
      <alignment horizontal="left"/>
    </xf>
    <xf numFmtId="0" fontId="24" fillId="0" borderId="0" xfId="0" applyFont="1" applyFill="1" applyProtection="1"/>
    <xf numFmtId="0" fontId="24" fillId="0" borderId="0" xfId="0" applyFont="1" applyFill="1" applyAlignment="1" applyProtection="1">
      <alignment horizontal="right"/>
    </xf>
    <xf numFmtId="0" fontId="1" fillId="0" borderId="0" xfId="0" applyFont="1" applyFill="1" applyAlignment="1" applyProtection="1">
      <alignment wrapText="1"/>
    </xf>
    <xf numFmtId="0" fontId="24" fillId="0" borderId="0" xfId="0" quotePrefix="1" applyFont="1" applyFill="1" applyBorder="1" applyAlignment="1" applyProtection="1">
      <alignment horizontal="left" wrapText="1"/>
    </xf>
    <xf numFmtId="0" fontId="24" fillId="0" borderId="0" xfId="0" applyFont="1" applyFill="1" applyAlignment="1" applyProtection="1">
      <alignment wrapText="1"/>
    </xf>
    <xf numFmtId="167" fontId="24" fillId="0" borderId="0" xfId="0" applyNumberFormat="1" applyFont="1" applyFill="1" applyAlignment="1" applyProtection="1">
      <alignment horizontal="right"/>
    </xf>
    <xf numFmtId="0" fontId="1" fillId="0" borderId="0" xfId="0" applyFont="1" applyFill="1" applyProtection="1"/>
    <xf numFmtId="0" fontId="1" fillId="0" borderId="0" xfId="0" applyFont="1" applyFill="1" applyAlignment="1" applyProtection="1">
      <alignment horizontal="right"/>
    </xf>
    <xf numFmtId="0" fontId="34" fillId="0" borderId="0" xfId="0" applyFont="1" applyFill="1" applyAlignment="1" applyProtection="1">
      <alignment wrapText="1"/>
    </xf>
    <xf numFmtId="4" fontId="1" fillId="0" borderId="0" xfId="0" applyNumberFormat="1" applyFont="1" applyFill="1" applyProtection="1"/>
    <xf numFmtId="4" fontId="1" fillId="0" borderId="0" xfId="0" applyNumberFormat="1" applyFont="1" applyFill="1" applyAlignment="1" applyProtection="1">
      <alignment horizontal="right"/>
    </xf>
    <xf numFmtId="4" fontId="24" fillId="0" borderId="0" xfId="0" applyNumberFormat="1" applyFont="1" applyFill="1" applyAlignment="1" applyProtection="1">
      <alignment horizontal="center"/>
    </xf>
    <xf numFmtId="4" fontId="24" fillId="0" borderId="0" xfId="0" applyNumberFormat="1" applyFont="1" applyFill="1" applyProtection="1"/>
    <xf numFmtId="4" fontId="24" fillId="0" borderId="0" xfId="0" applyNumberFormat="1" applyFont="1" applyFill="1" applyAlignment="1" applyProtection="1">
      <alignment horizontal="right"/>
    </xf>
    <xf numFmtId="0" fontId="33" fillId="0" borderId="0" xfId="35" applyFont="1" applyFill="1" applyProtection="1"/>
    <xf numFmtId="0" fontId="33" fillId="0" borderId="0" xfId="35" applyFont="1" applyFill="1" applyAlignment="1" applyProtection="1">
      <alignment horizontal="center"/>
    </xf>
    <xf numFmtId="4" fontId="33" fillId="0" borderId="0" xfId="35" applyNumberFormat="1" applyFont="1" applyFill="1" applyAlignment="1" applyProtection="1">
      <alignment horizontal="center"/>
    </xf>
    <xf numFmtId="4" fontId="33" fillId="0" borderId="0" xfId="35" applyNumberFormat="1" applyFont="1" applyFill="1" applyAlignment="1" applyProtection="1">
      <alignment horizontal="right"/>
    </xf>
    <xf numFmtId="0" fontId="24" fillId="0" borderId="0" xfId="0" quotePrefix="1" applyFont="1" applyFill="1" applyBorder="1" applyAlignment="1" applyProtection="1">
      <alignment horizontal="left"/>
    </xf>
    <xf numFmtId="0" fontId="24" fillId="0" borderId="0" xfId="0" quotePrefix="1" applyFont="1" applyFill="1" applyProtection="1"/>
    <xf numFmtId="0" fontId="24" fillId="0" borderId="0" xfId="0" quotePrefix="1" applyFont="1" applyFill="1" applyBorder="1" applyProtection="1"/>
    <xf numFmtId="0" fontId="24" fillId="0" borderId="0" xfId="0" applyFont="1" applyFill="1" applyBorder="1" applyAlignment="1" applyProtection="1">
      <alignment horizontal="center"/>
    </xf>
    <xf numFmtId="4" fontId="24" fillId="0" borderId="0" xfId="0" applyNumberFormat="1" applyFont="1" applyFill="1" applyBorder="1" applyAlignment="1" applyProtection="1">
      <alignment horizontal="center"/>
    </xf>
    <xf numFmtId="4" fontId="20" fillId="0" borderId="11" xfId="26" applyNumberFormat="1" applyFont="1" applyFill="1" applyBorder="1" applyAlignment="1" applyProtection="1">
      <alignment horizontal="right"/>
      <protection locked="0"/>
    </xf>
    <xf numFmtId="4" fontId="20" fillId="0" borderId="0" xfId="26" applyNumberFormat="1" applyFont="1" applyFill="1" applyBorder="1" applyAlignment="1" applyProtection="1">
      <alignment horizontal="right"/>
      <protection locked="0"/>
    </xf>
    <xf numFmtId="4" fontId="20" fillId="0" borderId="0" xfId="0" applyNumberFormat="1" applyFont="1" applyFill="1" applyAlignment="1" applyProtection="1">
      <alignment horizontal="right"/>
      <protection locked="0"/>
    </xf>
    <xf numFmtId="4" fontId="20" fillId="0" borderId="0" xfId="0" applyNumberFormat="1" applyFont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protection locked="0"/>
    </xf>
    <xf numFmtId="4" fontId="20" fillId="0" borderId="0" xfId="30" applyNumberFormat="1" applyFont="1" applyFill="1" applyBorder="1" applyAlignment="1" applyProtection="1">
      <alignment horizontal="right"/>
      <protection locked="0"/>
    </xf>
    <xf numFmtId="4" fontId="20" fillId="0" borderId="0" xfId="30" applyNumberFormat="1" applyFont="1" applyFill="1" applyBorder="1" applyProtection="1">
      <protection locked="0"/>
    </xf>
    <xf numFmtId="4" fontId="20" fillId="0" borderId="11" xfId="27" applyNumberFormat="1" applyFont="1" applyFill="1" applyBorder="1" applyAlignment="1" applyProtection="1">
      <alignment horizontal="right"/>
      <protection locked="0"/>
    </xf>
    <xf numFmtId="4" fontId="20" fillId="0" borderId="0" xfId="27" applyNumberFormat="1" applyFont="1" applyFill="1" applyBorder="1" applyAlignment="1" applyProtection="1">
      <alignment horizontal="right"/>
      <protection locked="0"/>
    </xf>
    <xf numFmtId="4" fontId="20" fillId="0" borderId="0" xfId="28" applyNumberFormat="1" applyFont="1" applyFill="1" applyBorder="1" applyAlignment="1" applyProtection="1">
      <alignment horizontal="right"/>
      <protection locked="0"/>
    </xf>
    <xf numFmtId="4" fontId="21" fillId="0" borderId="0" xfId="26" applyNumberFormat="1" applyFont="1" applyFill="1" applyBorder="1" applyAlignment="1" applyProtection="1">
      <alignment horizontal="right" vertical="center"/>
      <protection locked="0"/>
    </xf>
    <xf numFmtId="4" fontId="20" fillId="0" borderId="11" xfId="28" applyNumberFormat="1" applyFont="1" applyFill="1" applyBorder="1" applyAlignment="1" applyProtection="1">
      <alignment horizontal="right"/>
      <protection locked="0"/>
    </xf>
    <xf numFmtId="4" fontId="20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ont="1" applyAlignment="1" applyProtection="1">
      <alignment horizontal="justify" vertical="top" wrapText="1"/>
      <protection locked="0"/>
    </xf>
    <xf numFmtId="164" fontId="24" fillId="0" borderId="0" xfId="30" applyNumberFormat="1" applyFont="1" applyFill="1" applyBorder="1" applyProtection="1">
      <protection locked="0"/>
    </xf>
    <xf numFmtId="4" fontId="24" fillId="0" borderId="0" xfId="0" applyNumberFormat="1" applyFont="1" applyProtection="1">
      <protection locked="0"/>
    </xf>
    <xf numFmtId="0" fontId="24" fillId="0" borderId="0" xfId="0" applyFont="1" applyFill="1" applyProtection="1">
      <protection locked="0"/>
    </xf>
    <xf numFmtId="167" fontId="24" fillId="0" borderId="0" xfId="0" applyNumberFormat="1" applyFont="1" applyFill="1" applyProtection="1">
      <protection locked="0"/>
    </xf>
    <xf numFmtId="0" fontId="1" fillId="0" borderId="0" xfId="0" applyFont="1" applyFill="1" applyProtection="1">
      <protection locked="0"/>
    </xf>
    <xf numFmtId="4" fontId="1" fillId="0" borderId="0" xfId="0" applyNumberFormat="1" applyFont="1" applyFill="1" applyProtection="1">
      <protection locked="0"/>
    </xf>
    <xf numFmtId="4" fontId="24" fillId="0" borderId="0" xfId="0" applyNumberFormat="1" applyFont="1" applyFill="1" applyProtection="1">
      <protection locked="0"/>
    </xf>
    <xf numFmtId="4" fontId="33" fillId="0" borderId="0" xfId="35" applyNumberFormat="1" applyFont="1" applyFill="1" applyAlignment="1" applyProtection="1">
      <alignment horizontal="center"/>
      <protection locked="0"/>
    </xf>
    <xf numFmtId="4" fontId="24" fillId="0" borderId="0" xfId="0" applyNumberFormat="1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left" vertical="top"/>
    </xf>
    <xf numFmtId="0" fontId="21" fillId="0" borderId="0" xfId="0" applyFont="1" applyFill="1" applyAlignment="1" applyProtection="1">
      <alignment horizontal="left"/>
    </xf>
    <xf numFmtId="0" fontId="20" fillId="0" borderId="0" xfId="26" applyFont="1" applyFill="1" applyBorder="1" applyAlignment="1" applyProtection="1">
      <alignment horizontal="justify" vertical="top" wrapText="1"/>
    </xf>
    <xf numFmtId="0" fontId="0" fillId="0" borderId="0" xfId="0" applyFont="1" applyFill="1" applyAlignment="1" applyProtection="1"/>
    <xf numFmtId="4" fontId="20" fillId="0" borderId="0" xfId="29" applyNumberFormat="1" applyFont="1" applyFill="1" applyBorder="1" applyAlignment="1" applyProtection="1">
      <alignment horizontal="justify" vertical="top" wrapText="1"/>
    </xf>
    <xf numFmtId="0" fontId="0" fillId="0" borderId="0" xfId="0" applyFont="1" applyAlignment="1" applyProtection="1">
      <alignment horizontal="justify" vertical="top" wrapText="1"/>
    </xf>
    <xf numFmtId="4" fontId="25" fillId="30" borderId="12" xfId="0" applyNumberFormat="1" applyFont="1" applyFill="1" applyBorder="1" applyAlignment="1">
      <alignment horizontal="center" wrapText="1"/>
    </xf>
    <xf numFmtId="0" fontId="24" fillId="30" borderId="11" xfId="0" applyFont="1" applyFill="1" applyBorder="1" applyAlignment="1">
      <alignment horizontal="center" wrapText="1"/>
    </xf>
    <xf numFmtId="0" fontId="24" fillId="30" borderId="13" xfId="0" applyFont="1" applyFill="1" applyBorder="1" applyAlignment="1">
      <alignment horizontal="center" wrapText="1"/>
    </xf>
    <xf numFmtId="4" fontId="25" fillId="25" borderId="12" xfId="0" applyNumberFormat="1" applyFont="1" applyFill="1" applyBorder="1" applyAlignment="1">
      <alignment horizontal="center" vertical="center" wrapText="1"/>
    </xf>
    <xf numFmtId="4" fontId="25" fillId="25" borderId="11" xfId="0" applyNumberFormat="1" applyFont="1" applyFill="1" applyBorder="1" applyAlignment="1">
      <alignment horizontal="center" vertical="center" wrapText="1"/>
    </xf>
    <xf numFmtId="4" fontId="25" fillId="25" borderId="13" xfId="0" applyNumberFormat="1" applyFont="1" applyFill="1" applyBorder="1" applyAlignment="1">
      <alignment horizontal="center" vertical="center" wrapText="1"/>
    </xf>
    <xf numFmtId="4" fontId="25" fillId="28" borderId="12" xfId="0" applyNumberFormat="1" applyFont="1" applyFill="1" applyBorder="1" applyAlignment="1">
      <alignment horizontal="center" wrapText="1"/>
    </xf>
    <xf numFmtId="0" fontId="24" fillId="28" borderId="11" xfId="0" applyFont="1" applyFill="1" applyBorder="1" applyAlignment="1">
      <alignment horizontal="center" wrapText="1"/>
    </xf>
    <xf numFmtId="0" fontId="24" fillId="28" borderId="13" xfId="0" applyFont="1" applyFill="1" applyBorder="1" applyAlignment="1">
      <alignment horizontal="center" wrapText="1"/>
    </xf>
    <xf numFmtId="4" fontId="25" fillId="0" borderId="14" xfId="0" applyNumberFormat="1" applyFont="1" applyFill="1" applyBorder="1" applyAlignment="1">
      <alignment vertical="center" wrapText="1"/>
    </xf>
    <xf numFmtId="4" fontId="24" fillId="0" borderId="14" xfId="0" applyNumberFormat="1" applyFont="1" applyFill="1" applyBorder="1" applyAlignment="1">
      <alignment vertical="center" wrapText="1"/>
    </xf>
    <xf numFmtId="4" fontId="25" fillId="26" borderId="12" xfId="0" applyNumberFormat="1" applyFont="1" applyFill="1" applyBorder="1" applyAlignment="1">
      <alignment horizontal="center" vertical="center" wrapText="1"/>
    </xf>
    <xf numFmtId="0" fontId="25" fillId="26" borderId="11" xfId="0" applyFont="1" applyFill="1" applyBorder="1" applyAlignment="1">
      <alignment horizontal="center" vertical="center" wrapText="1"/>
    </xf>
    <xf numFmtId="0" fontId="25" fillId="26" borderId="13" xfId="0" applyFont="1" applyFill="1" applyBorder="1" applyAlignment="1">
      <alignment horizontal="center" vertical="center" wrapText="1"/>
    </xf>
    <xf numFmtId="4" fontId="25" fillId="26" borderId="11" xfId="0" applyNumberFormat="1" applyFont="1" applyFill="1" applyBorder="1" applyAlignment="1">
      <alignment horizontal="center" vertical="center" wrapText="1"/>
    </xf>
    <xf numFmtId="4" fontId="25" fillId="26" borderId="13" xfId="0" applyNumberFormat="1" applyFont="1" applyFill="1" applyBorder="1" applyAlignment="1">
      <alignment horizontal="center" vertical="center" wrapText="1"/>
    </xf>
    <xf numFmtId="0" fontId="25" fillId="29" borderId="12" xfId="0" applyFont="1" applyFill="1" applyBorder="1" applyAlignment="1">
      <alignment horizontal="center" wrapText="1"/>
    </xf>
    <xf numFmtId="0" fontId="25" fillId="29" borderId="11" xfId="0" applyFont="1" applyFill="1" applyBorder="1" applyAlignment="1">
      <alignment horizontal="center" wrapText="1"/>
    </xf>
    <xf numFmtId="0" fontId="25" fillId="29" borderId="13" xfId="0" applyFont="1" applyFill="1" applyBorder="1" applyAlignment="1">
      <alignment horizontal="center" wrapText="1"/>
    </xf>
    <xf numFmtId="4" fontId="25" fillId="31" borderId="12" xfId="0" applyNumberFormat="1" applyFont="1" applyFill="1" applyBorder="1" applyAlignment="1">
      <alignment horizontal="center" vertical="center" wrapText="1"/>
    </xf>
    <xf numFmtId="0" fontId="24" fillId="31" borderId="11" xfId="0" applyFont="1" applyFill="1" applyBorder="1" applyAlignment="1">
      <alignment horizontal="center" vertical="center" wrapText="1"/>
    </xf>
    <xf numFmtId="0" fontId="24" fillId="31" borderId="13" xfId="0" applyFont="1" applyFill="1" applyBorder="1" applyAlignment="1">
      <alignment horizontal="center" vertical="center" wrapText="1"/>
    </xf>
    <xf numFmtId="0" fontId="0" fillId="0" borderId="11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4" fontId="25" fillId="27" borderId="12" xfId="0" applyNumberFormat="1" applyFont="1" applyFill="1" applyBorder="1" applyAlignment="1">
      <alignment horizontal="center" vertical="center" wrapText="1"/>
    </xf>
    <xf numFmtId="4" fontId="25" fillId="29" borderId="12" xfId="0" applyNumberFormat="1" applyFont="1" applyFill="1" applyBorder="1" applyAlignment="1">
      <alignment horizontal="center" vertical="center" wrapText="1"/>
    </xf>
    <xf numFmtId="0" fontId="24" fillId="29" borderId="11" xfId="0" applyFont="1" applyFill="1" applyBorder="1" applyAlignment="1">
      <alignment horizontal="center" vertical="center" wrapText="1"/>
    </xf>
    <xf numFmtId="0" fontId="21" fillId="0" borderId="0" xfId="26" applyFont="1" applyFill="1" applyBorder="1" applyAlignment="1" applyProtection="1">
      <alignment horizontal="center"/>
    </xf>
    <xf numFmtId="4" fontId="21" fillId="0" borderId="0" xfId="26" applyNumberFormat="1" applyFont="1" applyFill="1" applyBorder="1" applyAlignment="1" applyProtection="1">
      <alignment horizontal="center"/>
    </xf>
    <xf numFmtId="4" fontId="21" fillId="0" borderId="0" xfId="0" applyNumberFormat="1" applyFont="1" applyFill="1" applyBorder="1" applyAlignment="1" applyProtection="1">
      <alignment horizontal="center"/>
    </xf>
    <xf numFmtId="4" fontId="21" fillId="0" borderId="0" xfId="0" applyNumberFormat="1" applyFont="1" applyFill="1" applyBorder="1" applyAlignment="1" applyProtection="1">
      <alignment horizontal="center" wrapText="1"/>
    </xf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35" builtinId="29" customBuiltin="1"/>
    <cellStyle name="Accent2" xfId="36" builtinId="33" customBuiltin="1"/>
    <cellStyle name="Accent3" xfId="37" builtinId="37" customBuiltin="1"/>
    <cellStyle name="Accent4" xfId="38" builtinId="41" customBuiltin="1"/>
    <cellStyle name="Accent5" xfId="39" builtinId="45" customBuiltin="1"/>
    <cellStyle name="Accent6" xfId="40" builtinId="49" customBuiltin="1"/>
    <cellStyle name="Bad" xfId="44" builtinId="27" customBuiltin="1"/>
    <cellStyle name="Calculation" xfId="43" builtinId="22" customBuiltin="1"/>
    <cellStyle name="Check Cell" xfId="42" builtinId="23" customBuiltin="1"/>
    <cellStyle name="Explanatory Text" xfId="34" builtinId="53" customBuiltin="1"/>
    <cellStyle name="Good" xfId="19" builtinId="26" customBuiltin="1"/>
    <cellStyle name="Heading 1" xfId="22" builtinId="16" customBuiltin="1"/>
    <cellStyle name="Heading 2" xfId="23" builtinId="17" customBuiltin="1"/>
    <cellStyle name="Heading 3" xfId="24" builtinId="18" customBuiltin="1"/>
    <cellStyle name="Heading 4" xfId="25" builtinId="19" customBuiltin="1"/>
    <cellStyle name="Input" xfId="45" builtinId="20" customBuiltin="1"/>
    <cellStyle name="Linked Cell" xfId="41" builtinId="24" customBuiltin="1"/>
    <cellStyle name="Navadno_GRADBENO-OBRT.DELA" xfId="26"/>
    <cellStyle name="Navadno_KERAMIČARSKA DELA" xfId="27"/>
    <cellStyle name="Navadno_SLIKOPLESKARSKA DELA" xfId="28"/>
    <cellStyle name="Navadno_TLAKARSKA DELA" xfId="29"/>
    <cellStyle name="Navadno_VRATA IN OKNA" xfId="30"/>
    <cellStyle name="Neutral" xfId="31" builtinId="28" customBuiltin="1"/>
    <cellStyle name="Normal" xfId="0" builtinId="0"/>
    <cellStyle name="normal 2" xfId="47"/>
    <cellStyle name="Note" xfId="32" builtinId="10" customBuiltin="1"/>
    <cellStyle name="Output" xfId="20" builtinId="21" customBuiltin="1"/>
    <cellStyle name="Title" xfId="21" builtinId="15" customBuiltin="1"/>
    <cellStyle name="Total" xfId="46" builtinId="25" customBuiltin="1"/>
    <cellStyle name="Warning Text" xfId="33" builtinId="11" customBuiltin="1"/>
  </cellStyles>
  <dxfs count="0"/>
  <tableStyles count="0" defaultTableStyle="TableStyleMedium9" defaultPivotStyle="PivotStyleLight16"/>
  <colors>
    <mruColors>
      <color rgb="FF9999FF"/>
      <color rgb="FFFFFF66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L291"/>
  <sheetViews>
    <sheetView showZeros="0" tabSelected="1" zoomScaleNormal="100" workbookViewId="0">
      <selection activeCell="G12" sqref="G12"/>
    </sheetView>
  </sheetViews>
  <sheetFormatPr defaultColWidth="6" defaultRowHeight="14.5" x14ac:dyDescent="0.35"/>
  <cols>
    <col min="1" max="1" width="4" style="123" customWidth="1"/>
    <col min="2" max="2" width="58" style="121" customWidth="1"/>
    <col min="3" max="3" width="6.54296875" style="108" bestFit="1" customWidth="1"/>
    <col min="4" max="4" width="9.453125" style="109" customWidth="1"/>
    <col min="5" max="5" width="8.54296875" style="109" customWidth="1"/>
    <col min="6" max="6" width="16.81640625" style="109" bestFit="1" customWidth="1"/>
    <col min="7" max="7" width="19.453125" style="105" customWidth="1"/>
    <col min="8" max="8" width="15.54296875" style="105" customWidth="1"/>
    <col min="9" max="9" width="9.1796875" style="105" customWidth="1"/>
    <col min="10" max="10" width="6.54296875" style="105" bestFit="1" customWidth="1"/>
    <col min="11" max="12" width="9.1796875" style="105" customWidth="1"/>
    <col min="13" max="252" width="9.1796875" style="104" customWidth="1"/>
    <col min="253" max="253" width="3.26953125" style="104" customWidth="1"/>
    <col min="254" max="254" width="0.1796875" style="104" customWidth="1"/>
    <col min="255" max="255" width="37.54296875" style="104" customWidth="1"/>
    <col min="256" max="16384" width="6" style="104"/>
  </cols>
  <sheetData>
    <row r="1" spans="1:12" x14ac:dyDescent="0.35">
      <c r="A1" s="237" t="s">
        <v>1</v>
      </c>
      <c r="B1" s="238"/>
      <c r="C1" s="238"/>
      <c r="D1" s="238"/>
      <c r="E1" s="238"/>
      <c r="F1" s="238"/>
    </row>
    <row r="2" spans="1:12" x14ac:dyDescent="0.35">
      <c r="A2" s="237" t="s">
        <v>138</v>
      </c>
      <c r="B2" s="238"/>
      <c r="C2" s="238"/>
      <c r="D2" s="238"/>
      <c r="E2" s="238"/>
      <c r="F2" s="238"/>
    </row>
    <row r="3" spans="1:12" x14ac:dyDescent="0.35">
      <c r="A3" s="237" t="s">
        <v>123</v>
      </c>
      <c r="B3" s="238"/>
      <c r="C3" s="238"/>
      <c r="D3" s="238"/>
      <c r="E3" s="238"/>
      <c r="F3" s="238"/>
    </row>
    <row r="5" spans="1:12" x14ac:dyDescent="0.35">
      <c r="A5" s="106" t="s">
        <v>27</v>
      </c>
      <c r="B5" s="107" t="s">
        <v>124</v>
      </c>
      <c r="F5" s="145" t="s">
        <v>119</v>
      </c>
      <c r="G5" s="145" t="s">
        <v>120</v>
      </c>
      <c r="H5" s="146" t="s">
        <v>50</v>
      </c>
    </row>
    <row r="7" spans="1:12" x14ac:dyDescent="0.35">
      <c r="A7" s="110" t="str">
        <f>A27</f>
        <v>I.</v>
      </c>
      <c r="B7" s="111" t="str">
        <f>B27</f>
        <v>RUŠITVENA IN ODSTRANITVENA DELA</v>
      </c>
      <c r="C7" s="112"/>
      <c r="F7" s="109">
        <f>F64</f>
        <v>0</v>
      </c>
      <c r="G7" s="109">
        <f>G64</f>
        <v>0</v>
      </c>
      <c r="H7" s="105">
        <f>F7+G7</f>
        <v>0</v>
      </c>
    </row>
    <row r="8" spans="1:12" x14ac:dyDescent="0.35">
      <c r="A8" s="110" t="str">
        <f>A66</f>
        <v>II.</v>
      </c>
      <c r="B8" s="111" t="str">
        <f>B66</f>
        <v>ZEMELJSKA DELA</v>
      </c>
      <c r="C8" s="112"/>
      <c r="F8" s="109">
        <f>F78</f>
        <v>0</v>
      </c>
      <c r="G8" s="109">
        <f>G78</f>
        <v>0</v>
      </c>
      <c r="H8" s="105">
        <f t="shared" ref="H8:H17" si="0">F8+G8</f>
        <v>0</v>
      </c>
    </row>
    <row r="9" spans="1:12" x14ac:dyDescent="0.35">
      <c r="A9" s="110" t="str">
        <f>A85</f>
        <v>III.</v>
      </c>
      <c r="B9" s="107" t="str">
        <f>B85</f>
        <v>ZIDARSKA DELA</v>
      </c>
      <c r="C9" s="112"/>
      <c r="F9" s="109">
        <f>F109</f>
        <v>0</v>
      </c>
      <c r="G9" s="109">
        <f>G109</f>
        <v>0</v>
      </c>
      <c r="H9" s="105">
        <f t="shared" si="0"/>
        <v>0</v>
      </c>
    </row>
    <row r="10" spans="1:12" x14ac:dyDescent="0.35">
      <c r="A10" s="110" t="str">
        <f>A111</f>
        <v>IV.</v>
      </c>
      <c r="B10" s="113" t="str">
        <f>B111</f>
        <v>TESARSKA DELA</v>
      </c>
      <c r="C10" s="112"/>
      <c r="F10" s="109">
        <f>F121</f>
        <v>0</v>
      </c>
      <c r="G10" s="109">
        <f>G121</f>
        <v>0</v>
      </c>
      <c r="H10" s="105">
        <f t="shared" si="0"/>
        <v>0</v>
      </c>
    </row>
    <row r="11" spans="1:12" x14ac:dyDescent="0.35">
      <c r="A11" s="110" t="str">
        <f>A123</f>
        <v>V.</v>
      </c>
      <c r="B11" s="113" t="str">
        <f>B123</f>
        <v>FASADERSKA DELA</v>
      </c>
      <c r="C11" s="112"/>
      <c r="F11" s="109">
        <f>F138</f>
        <v>0</v>
      </c>
      <c r="G11" s="109">
        <f>G138</f>
        <v>0</v>
      </c>
      <c r="H11" s="105">
        <f t="shared" si="0"/>
        <v>0</v>
      </c>
    </row>
    <row r="12" spans="1:12" x14ac:dyDescent="0.35">
      <c r="A12" s="110" t="str">
        <f>A141</f>
        <v>VI.</v>
      </c>
      <c r="B12" s="111" t="str">
        <f>B141</f>
        <v>KLEPARSKA DELA</v>
      </c>
      <c r="C12" s="112"/>
      <c r="F12" s="109">
        <f>F151</f>
        <v>0</v>
      </c>
      <c r="G12" s="109">
        <f>G151</f>
        <v>0</v>
      </c>
      <c r="H12" s="105">
        <f t="shared" si="0"/>
        <v>0</v>
      </c>
    </row>
    <row r="13" spans="1:12" x14ac:dyDescent="0.35">
      <c r="A13" s="110" t="str">
        <f>A153</f>
        <v>VII.</v>
      </c>
      <c r="B13" s="111" t="str">
        <f>B153</f>
        <v>KERAMIČARSKA DELA</v>
      </c>
      <c r="C13" s="112"/>
      <c r="F13" s="109">
        <f>F167</f>
        <v>0</v>
      </c>
      <c r="G13" s="109">
        <f>G167</f>
        <v>0</v>
      </c>
      <c r="H13" s="105">
        <f t="shared" si="0"/>
        <v>0</v>
      </c>
    </row>
    <row r="14" spans="1:12" x14ac:dyDescent="0.35">
      <c r="A14" s="110" t="str">
        <f>A171</f>
        <v>VIII.</v>
      </c>
      <c r="B14" s="111" t="str">
        <f>B171</f>
        <v>SLIKOPLESKARSKA DELA</v>
      </c>
      <c r="C14" s="112"/>
      <c r="F14" s="109">
        <f>F181</f>
        <v>0</v>
      </c>
      <c r="G14" s="109">
        <f>G181</f>
        <v>0</v>
      </c>
      <c r="H14" s="105">
        <f t="shared" si="0"/>
        <v>0</v>
      </c>
    </row>
    <row r="15" spans="1:12" s="116" customFormat="1" x14ac:dyDescent="0.35">
      <c r="A15" s="114" t="str">
        <f>A186</f>
        <v>IX.</v>
      </c>
      <c r="B15" s="115" t="str">
        <f>B186</f>
        <v>STAVBNO POHIŠTVO</v>
      </c>
      <c r="F15" s="105">
        <f>F195</f>
        <v>0</v>
      </c>
      <c r="G15" s="105">
        <f>G195</f>
        <v>0</v>
      </c>
      <c r="H15" s="105">
        <f t="shared" si="0"/>
        <v>0</v>
      </c>
      <c r="I15" s="117"/>
      <c r="J15" s="117"/>
      <c r="K15" s="117"/>
      <c r="L15" s="117"/>
    </row>
    <row r="16" spans="1:12" x14ac:dyDescent="0.35">
      <c r="A16" s="110" t="str">
        <f>A197</f>
        <v>X.</v>
      </c>
      <c r="B16" s="111" t="str">
        <f>B197</f>
        <v>RAZNA DELA</v>
      </c>
      <c r="C16" s="112"/>
      <c r="D16" s="139"/>
      <c r="E16" s="139"/>
      <c r="F16" s="109">
        <f>F232</f>
        <v>0</v>
      </c>
      <c r="G16" s="109">
        <f>G232</f>
        <v>0</v>
      </c>
      <c r="H16" s="105">
        <f t="shared" si="0"/>
        <v>0</v>
      </c>
    </row>
    <row r="17" spans="1:8" x14ac:dyDescent="0.35">
      <c r="A17" s="180" t="str">
        <f>A239</f>
        <v>XI.</v>
      </c>
      <c r="B17" s="181" t="str">
        <f>B239</f>
        <v>PREZRAČEVANJE</v>
      </c>
      <c r="C17" s="118"/>
      <c r="D17" s="119"/>
      <c r="E17" s="119"/>
      <c r="F17" s="120">
        <f>F291</f>
        <v>0</v>
      </c>
      <c r="G17" s="120">
        <f>G291</f>
        <v>0</v>
      </c>
      <c r="H17" s="138">
        <f t="shared" si="0"/>
        <v>0</v>
      </c>
    </row>
    <row r="19" spans="1:8" x14ac:dyDescent="0.35">
      <c r="A19" s="54"/>
      <c r="D19" s="109" t="s">
        <v>2</v>
      </c>
      <c r="F19" s="109">
        <f>SUM(F7:F18)</f>
        <v>0</v>
      </c>
      <c r="G19" s="109">
        <f>SUM(G7:G18)</f>
        <v>0</v>
      </c>
      <c r="H19" s="109">
        <f>SUM(H7:H18)</f>
        <v>0</v>
      </c>
    </row>
    <row r="20" spans="1:8" x14ac:dyDescent="0.35">
      <c r="A20" s="54"/>
      <c r="D20" s="109" t="s">
        <v>136</v>
      </c>
      <c r="E20" s="140">
        <v>9.5000000000000001E-2</v>
      </c>
      <c r="F20" s="109">
        <f>F19*$E$20</f>
        <v>0</v>
      </c>
      <c r="G20" s="109">
        <f>G19*$E$20</f>
        <v>0</v>
      </c>
      <c r="H20" s="109">
        <f>H19*$E$20</f>
        <v>0</v>
      </c>
    </row>
    <row r="21" spans="1:8" x14ac:dyDescent="0.35">
      <c r="A21" s="54"/>
      <c r="D21" s="139"/>
      <c r="E21" s="139"/>
      <c r="F21" s="139"/>
      <c r="G21" s="139"/>
      <c r="H21" s="139"/>
    </row>
    <row r="22" spans="1:8" x14ac:dyDescent="0.35">
      <c r="A22" s="54"/>
      <c r="D22" s="142" t="s">
        <v>137</v>
      </c>
      <c r="E22" s="122"/>
      <c r="F22" s="122">
        <f>SUM(F19:F21)</f>
        <v>0</v>
      </c>
      <c r="G22" s="122">
        <f>SUM(G19:G21)</f>
        <v>0</v>
      </c>
      <c r="H22" s="122">
        <f>SUM(H19:H21)</f>
        <v>0</v>
      </c>
    </row>
    <row r="23" spans="1:8" x14ac:dyDescent="0.35">
      <c r="A23" s="54"/>
      <c r="D23" s="141"/>
      <c r="E23" s="139"/>
      <c r="F23" s="139"/>
      <c r="G23" s="139"/>
      <c r="H23" s="139"/>
    </row>
    <row r="24" spans="1:8" x14ac:dyDescent="0.35">
      <c r="B24" s="3" t="s">
        <v>3</v>
      </c>
      <c r="C24" s="6"/>
      <c r="D24" s="1"/>
      <c r="E24" s="1"/>
    </row>
    <row r="25" spans="1:8" ht="185.25" customHeight="1" x14ac:dyDescent="0.35">
      <c r="B25" s="239" t="s">
        <v>39</v>
      </c>
      <c r="C25" s="240"/>
      <c r="D25" s="240"/>
      <c r="E25" s="240"/>
      <c r="F25" s="240"/>
    </row>
    <row r="26" spans="1:8" x14ac:dyDescent="0.35">
      <c r="B26" s="160"/>
      <c r="C26" s="124"/>
      <c r="D26" s="124"/>
      <c r="E26" s="124"/>
      <c r="F26" s="124"/>
    </row>
    <row r="27" spans="1:8" x14ac:dyDescent="0.35">
      <c r="A27" s="2" t="s">
        <v>0</v>
      </c>
      <c r="B27" s="3" t="s">
        <v>29</v>
      </c>
      <c r="C27" s="6"/>
      <c r="D27" s="1"/>
      <c r="E27" s="1"/>
      <c r="F27" s="273" t="s">
        <v>119</v>
      </c>
      <c r="G27" s="273" t="s">
        <v>120</v>
      </c>
    </row>
    <row r="28" spans="1:8" x14ac:dyDescent="0.35">
      <c r="A28" s="2"/>
      <c r="B28" s="3"/>
      <c r="C28" s="270" t="s">
        <v>296</v>
      </c>
      <c r="D28" s="78" t="s">
        <v>297</v>
      </c>
      <c r="E28" s="271" t="s">
        <v>298</v>
      </c>
      <c r="F28" s="272" t="s">
        <v>299</v>
      </c>
      <c r="G28" s="272" t="s">
        <v>299</v>
      </c>
    </row>
    <row r="29" spans="1:8" ht="87" x14ac:dyDescent="0.35">
      <c r="A29" s="54"/>
      <c r="B29" s="133" t="s">
        <v>83</v>
      </c>
      <c r="C29" s="125"/>
      <c r="D29" s="32"/>
      <c r="E29" s="32"/>
      <c r="F29" s="32"/>
    </row>
    <row r="30" spans="1:8" x14ac:dyDescent="0.35">
      <c r="A30" s="54"/>
      <c r="B30" s="133"/>
      <c r="C30" s="125"/>
      <c r="D30" s="32"/>
      <c r="E30" s="32"/>
      <c r="F30" s="32"/>
    </row>
    <row r="31" spans="1:8" ht="43.5" x14ac:dyDescent="0.35">
      <c r="A31" s="54" t="s">
        <v>4</v>
      </c>
      <c r="B31" s="126" t="s">
        <v>135</v>
      </c>
      <c r="C31" s="125"/>
      <c r="D31" s="32"/>
      <c r="E31" s="148"/>
      <c r="F31" s="32"/>
    </row>
    <row r="32" spans="1:8" x14ac:dyDescent="0.35">
      <c r="A32" s="54"/>
      <c r="B32" s="126" t="s">
        <v>153</v>
      </c>
      <c r="C32" s="125" t="s">
        <v>8</v>
      </c>
      <c r="D32" s="32">
        <f>'Izračuni_pred izmere'!I292</f>
        <v>10</v>
      </c>
      <c r="E32" s="148"/>
      <c r="F32" s="32">
        <f>D32*E32</f>
        <v>0</v>
      </c>
    </row>
    <row r="33" spans="1:7" x14ac:dyDescent="0.35">
      <c r="A33" s="54"/>
      <c r="B33" s="126"/>
      <c r="C33" s="125"/>
      <c r="D33" s="32"/>
      <c r="E33" s="148"/>
      <c r="F33" s="32"/>
    </row>
    <row r="34" spans="1:7" x14ac:dyDescent="0.35">
      <c r="A34" s="54" t="s">
        <v>31</v>
      </c>
      <c r="B34" s="126" t="s">
        <v>92</v>
      </c>
      <c r="C34" s="125" t="s">
        <v>8</v>
      </c>
      <c r="D34" s="32">
        <v>1</v>
      </c>
      <c r="E34" s="148"/>
      <c r="F34" s="32">
        <f>D34*E34</f>
        <v>0</v>
      </c>
    </row>
    <row r="35" spans="1:7" x14ac:dyDescent="0.35">
      <c r="A35" s="54"/>
      <c r="B35" s="126"/>
      <c r="C35" s="125"/>
      <c r="D35" s="32"/>
      <c r="E35" s="148"/>
      <c r="F35" s="32"/>
    </row>
    <row r="36" spans="1:7" ht="72.5" x14ac:dyDescent="0.35">
      <c r="A36" s="54" t="s">
        <v>33</v>
      </c>
      <c r="B36" s="126" t="s">
        <v>40</v>
      </c>
      <c r="C36" s="125" t="s">
        <v>235</v>
      </c>
      <c r="D36" s="47">
        <f>'Izračuni_pred izmere'!J292</f>
        <v>13.12</v>
      </c>
      <c r="E36" s="169"/>
      <c r="F36" s="47">
        <f>D36*E36</f>
        <v>0</v>
      </c>
    </row>
    <row r="37" spans="1:7" x14ac:dyDescent="0.35">
      <c r="A37" s="54"/>
      <c r="B37" s="126"/>
      <c r="C37" s="125"/>
      <c r="D37" s="47"/>
      <c r="E37" s="169"/>
      <c r="F37" s="47"/>
    </row>
    <row r="38" spans="1:7" ht="43.5" x14ac:dyDescent="0.35">
      <c r="A38" s="54" t="s">
        <v>71</v>
      </c>
      <c r="B38" s="127" t="s">
        <v>96</v>
      </c>
      <c r="C38" s="125" t="s">
        <v>236</v>
      </c>
      <c r="D38" s="32">
        <f>'Izračuni_pred izmere'!K292</f>
        <v>24.74</v>
      </c>
      <c r="E38" s="148"/>
      <c r="F38" s="32">
        <f>D38*E38</f>
        <v>0</v>
      </c>
    </row>
    <row r="39" spans="1:7" x14ac:dyDescent="0.35">
      <c r="A39" s="54"/>
      <c r="B39" s="127"/>
      <c r="C39" s="125"/>
      <c r="D39" s="32"/>
      <c r="E39" s="148"/>
      <c r="F39" s="32"/>
    </row>
    <row r="40" spans="1:7" ht="47.25" customHeight="1" x14ac:dyDescent="0.35">
      <c r="A40" s="54" t="s">
        <v>75</v>
      </c>
      <c r="B40" s="126" t="s">
        <v>146</v>
      </c>
      <c r="C40" s="125" t="s">
        <v>235</v>
      </c>
      <c r="D40" s="47">
        <f>'Izračuni_pred izmere'!M292</f>
        <v>19.36</v>
      </c>
      <c r="E40" s="169"/>
      <c r="F40" s="32">
        <f>D40*E40</f>
        <v>0</v>
      </c>
      <c r="G40" s="47"/>
    </row>
    <row r="41" spans="1:7" x14ac:dyDescent="0.35">
      <c r="B41" s="126"/>
      <c r="C41" s="125"/>
      <c r="D41" s="47"/>
      <c r="E41" s="169"/>
      <c r="F41" s="47"/>
    </row>
    <row r="42" spans="1:7" ht="29" x14ac:dyDescent="0.35">
      <c r="A42" s="123">
        <v>6</v>
      </c>
      <c r="B42" s="126" t="s">
        <v>144</v>
      </c>
      <c r="C42" s="125" t="s">
        <v>8</v>
      </c>
      <c r="D42" s="47">
        <v>6</v>
      </c>
      <c r="E42" s="169"/>
      <c r="F42" s="47">
        <f>D42*E42</f>
        <v>0</v>
      </c>
    </row>
    <row r="43" spans="1:7" x14ac:dyDescent="0.35">
      <c r="B43" s="126"/>
      <c r="C43" s="125"/>
      <c r="D43" s="47"/>
      <c r="E43" s="169"/>
      <c r="F43" s="47"/>
    </row>
    <row r="44" spans="1:7" x14ac:dyDescent="0.35">
      <c r="A44" s="123">
        <v>7</v>
      </c>
      <c r="B44" s="126" t="s">
        <v>111</v>
      </c>
      <c r="C44" s="125" t="s">
        <v>8</v>
      </c>
      <c r="D44" s="47">
        <v>1</v>
      </c>
      <c r="E44" s="169"/>
      <c r="F44" s="47">
        <f>D44*E44</f>
        <v>0</v>
      </c>
    </row>
    <row r="45" spans="1:7" x14ac:dyDescent="0.35">
      <c r="B45" s="126"/>
      <c r="C45" s="125"/>
      <c r="D45" s="47"/>
      <c r="E45" s="169"/>
      <c r="F45" s="47"/>
    </row>
    <row r="46" spans="1:7" ht="58" x14ac:dyDescent="0.35">
      <c r="A46" s="123">
        <v>8</v>
      </c>
      <c r="B46" s="160" t="s">
        <v>142</v>
      </c>
      <c r="C46" s="125" t="s">
        <v>236</v>
      </c>
      <c r="D46" s="47">
        <f>'Izračuni_pred izmere'!L292</f>
        <v>24.66</v>
      </c>
      <c r="E46" s="169"/>
      <c r="F46" s="47">
        <f>D46*E46</f>
        <v>0</v>
      </c>
    </row>
    <row r="47" spans="1:7" x14ac:dyDescent="0.35">
      <c r="B47" s="160"/>
      <c r="C47" s="125"/>
      <c r="D47" s="47"/>
      <c r="E47" s="169"/>
      <c r="F47" s="47"/>
    </row>
    <row r="48" spans="1:7" ht="29" x14ac:dyDescent="0.35">
      <c r="A48" s="123">
        <v>9</v>
      </c>
      <c r="B48" s="160" t="s">
        <v>150</v>
      </c>
      <c r="C48" s="125" t="s">
        <v>236</v>
      </c>
      <c r="D48" s="47">
        <f>'Izračuni_pred izmere'!N292</f>
        <v>27.01</v>
      </c>
      <c r="E48" s="169"/>
      <c r="F48" s="47">
        <f>D48*E48</f>
        <v>0</v>
      </c>
    </row>
    <row r="49" spans="1:7" x14ac:dyDescent="0.35">
      <c r="B49" s="160"/>
      <c r="C49" s="125"/>
      <c r="D49" s="47"/>
      <c r="E49" s="169"/>
      <c r="F49" s="47"/>
    </row>
    <row r="50" spans="1:7" ht="43.5" x14ac:dyDescent="0.35">
      <c r="A50" s="123">
        <v>10</v>
      </c>
      <c r="B50" s="160" t="s">
        <v>166</v>
      </c>
      <c r="C50" s="125" t="s">
        <v>237</v>
      </c>
      <c r="D50" s="47">
        <f>'Izračuni_pred izmere'!O292</f>
        <v>0.18</v>
      </c>
      <c r="E50" s="169"/>
      <c r="G50" s="47">
        <f>D50*E50</f>
        <v>0</v>
      </c>
    </row>
    <row r="51" spans="1:7" x14ac:dyDescent="0.35">
      <c r="B51" s="160"/>
      <c r="C51" s="125"/>
      <c r="D51" s="47"/>
      <c r="E51" s="169"/>
      <c r="F51" s="47"/>
    </row>
    <row r="52" spans="1:7" ht="43.5" x14ac:dyDescent="0.35">
      <c r="A52" s="123">
        <v>11</v>
      </c>
      <c r="B52" s="160" t="s">
        <v>188</v>
      </c>
      <c r="C52" s="125" t="s">
        <v>236</v>
      </c>
      <c r="D52" s="47">
        <f>'Izračuni_pred izmere'!P292</f>
        <v>14.36</v>
      </c>
      <c r="E52" s="169"/>
      <c r="G52" s="47">
        <f>D52*E52</f>
        <v>0</v>
      </c>
    </row>
    <row r="53" spans="1:7" x14ac:dyDescent="0.35">
      <c r="B53" s="160"/>
      <c r="C53" s="125"/>
      <c r="D53" s="47"/>
      <c r="E53" s="169"/>
      <c r="G53" s="47"/>
    </row>
    <row r="54" spans="1:7" ht="43.5" x14ac:dyDescent="0.35">
      <c r="A54" s="123">
        <v>12</v>
      </c>
      <c r="B54" s="160" t="s">
        <v>190</v>
      </c>
      <c r="C54" s="125" t="s">
        <v>236</v>
      </c>
      <c r="D54" s="47">
        <f>'Izračuni_pred izmere'!Q292</f>
        <v>16.649999999999999</v>
      </c>
      <c r="E54" s="169"/>
      <c r="G54" s="47">
        <f>D54*E54</f>
        <v>0</v>
      </c>
    </row>
    <row r="55" spans="1:7" x14ac:dyDescent="0.35">
      <c r="B55" s="160"/>
      <c r="C55" s="125"/>
      <c r="D55" s="47"/>
      <c r="E55" s="169"/>
      <c r="F55" s="47"/>
    </row>
    <row r="56" spans="1:7" ht="58" x14ac:dyDescent="0.35">
      <c r="A56" s="123">
        <v>13</v>
      </c>
      <c r="B56" s="126" t="s">
        <v>238</v>
      </c>
      <c r="C56" s="125" t="s">
        <v>8</v>
      </c>
      <c r="D56" s="47">
        <v>2</v>
      </c>
      <c r="E56" s="169"/>
      <c r="F56" s="47">
        <f>D56*E56</f>
        <v>0</v>
      </c>
    </row>
    <row r="57" spans="1:7" x14ac:dyDescent="0.35">
      <c r="B57" s="126"/>
      <c r="C57" s="125"/>
      <c r="D57" s="47"/>
      <c r="E57" s="169"/>
      <c r="F57" s="47"/>
    </row>
    <row r="58" spans="1:7" ht="58" x14ac:dyDescent="0.35">
      <c r="A58" s="123">
        <v>14</v>
      </c>
      <c r="B58" s="126" t="s">
        <v>159</v>
      </c>
      <c r="C58" s="125" t="s">
        <v>235</v>
      </c>
      <c r="D58" s="47">
        <f>'Izračuni_pred izmere'!R292</f>
        <v>18.96</v>
      </c>
      <c r="E58" s="169"/>
      <c r="G58" s="47">
        <f>D58*E58</f>
        <v>0</v>
      </c>
    </row>
    <row r="59" spans="1:7" x14ac:dyDescent="0.35">
      <c r="B59" s="126"/>
      <c r="C59" s="125"/>
      <c r="D59" s="47"/>
      <c r="E59" s="169"/>
      <c r="G59" s="47"/>
    </row>
    <row r="60" spans="1:7" ht="43.5" x14ac:dyDescent="0.35">
      <c r="A60" s="123">
        <v>15</v>
      </c>
      <c r="B60" s="126" t="s">
        <v>206</v>
      </c>
      <c r="C60" s="125" t="s">
        <v>8</v>
      </c>
      <c r="D60" s="47">
        <v>3</v>
      </c>
      <c r="E60" s="169"/>
      <c r="F60" s="47">
        <f>D60*E60</f>
        <v>0</v>
      </c>
      <c r="G60" s="47"/>
    </row>
    <row r="61" spans="1:7" x14ac:dyDescent="0.35">
      <c r="B61" s="126"/>
      <c r="C61" s="125"/>
      <c r="D61" s="47"/>
      <c r="E61" s="169"/>
      <c r="F61" s="47"/>
      <c r="G61" s="47"/>
    </row>
    <row r="62" spans="1:7" ht="43.5" x14ac:dyDescent="0.35">
      <c r="A62" s="123">
        <v>16</v>
      </c>
      <c r="B62" s="126" t="s">
        <v>214</v>
      </c>
      <c r="C62" s="125" t="s">
        <v>235</v>
      </c>
      <c r="D62" s="47">
        <f>'Izračuni_pred izmere'!S292</f>
        <v>105.5</v>
      </c>
      <c r="E62" s="169"/>
      <c r="F62" s="47">
        <f>D62*E62</f>
        <v>0</v>
      </c>
    </row>
    <row r="63" spans="1:7" x14ac:dyDescent="0.35">
      <c r="B63" s="126"/>
      <c r="C63" s="125"/>
      <c r="D63" s="47"/>
      <c r="E63" s="169"/>
      <c r="G63" s="47"/>
    </row>
    <row r="64" spans="1:7" x14ac:dyDescent="0.35">
      <c r="A64" s="54" t="s">
        <v>28</v>
      </c>
      <c r="B64" s="4" t="s">
        <v>30</v>
      </c>
      <c r="C64" s="5"/>
      <c r="D64" s="29"/>
      <c r="E64" s="214"/>
      <c r="F64" s="30">
        <f>SUM(F29:F63)</f>
        <v>0</v>
      </c>
      <c r="G64" s="30">
        <f>SUM(G29:G63)</f>
        <v>0</v>
      </c>
    </row>
    <row r="65" spans="1:7" x14ac:dyDescent="0.35">
      <c r="A65" s="54"/>
      <c r="B65" s="77"/>
      <c r="C65" s="6"/>
      <c r="D65" s="1"/>
      <c r="E65" s="215"/>
      <c r="F65" s="78"/>
    </row>
    <row r="66" spans="1:7" x14ac:dyDescent="0.35">
      <c r="A66" s="2" t="s">
        <v>5</v>
      </c>
      <c r="B66" s="3" t="s">
        <v>73</v>
      </c>
      <c r="C66" s="6"/>
      <c r="D66" s="1"/>
      <c r="E66" s="215"/>
      <c r="F66" s="78"/>
    </row>
    <row r="67" spans="1:7" x14ac:dyDescent="0.35">
      <c r="A67" s="54"/>
      <c r="B67" s="77"/>
      <c r="C67" s="6"/>
      <c r="D67" s="1"/>
      <c r="E67" s="215"/>
      <c r="F67" s="78"/>
    </row>
    <row r="68" spans="1:7" ht="43.5" x14ac:dyDescent="0.35">
      <c r="A68" s="54" t="s">
        <v>4</v>
      </c>
      <c r="B68" s="147" t="s">
        <v>99</v>
      </c>
      <c r="C68" s="125" t="s">
        <v>235</v>
      </c>
      <c r="D68" s="47">
        <f>'Izračuni_pred izmere'!V292</f>
        <v>5.8</v>
      </c>
      <c r="E68" s="169"/>
      <c r="F68" s="47">
        <f>D68*E68</f>
        <v>0</v>
      </c>
    </row>
    <row r="69" spans="1:7" x14ac:dyDescent="0.35">
      <c r="A69" s="54"/>
      <c r="B69" s="77"/>
      <c r="C69" s="6"/>
      <c r="D69" s="1"/>
      <c r="E69" s="215"/>
      <c r="F69" s="78"/>
    </row>
    <row r="70" spans="1:7" ht="58" x14ac:dyDescent="0.35">
      <c r="A70" s="54" t="s">
        <v>31</v>
      </c>
      <c r="B70" s="170" t="s">
        <v>114</v>
      </c>
      <c r="C70" s="171" t="s">
        <v>237</v>
      </c>
      <c r="D70" s="172">
        <f>'Izračuni_pred izmere'!U292</f>
        <v>8.81</v>
      </c>
      <c r="E70" s="216"/>
      <c r="F70" s="101">
        <f>+D70*E70</f>
        <v>0</v>
      </c>
    </row>
    <row r="71" spans="1:7" x14ac:dyDescent="0.35">
      <c r="A71" s="54"/>
      <c r="B71" s="170"/>
      <c r="C71" s="171"/>
      <c r="D71" s="172"/>
      <c r="E71" s="216"/>
      <c r="F71" s="101"/>
    </row>
    <row r="72" spans="1:7" ht="58" x14ac:dyDescent="0.35">
      <c r="A72" s="54" t="s">
        <v>33</v>
      </c>
      <c r="B72" s="127" t="s">
        <v>117</v>
      </c>
      <c r="C72" s="125" t="s">
        <v>235</v>
      </c>
      <c r="D72" s="32">
        <f>'Izračuni_pred izmere'!W292</f>
        <v>5.8</v>
      </c>
      <c r="E72" s="148"/>
      <c r="F72" s="32">
        <f>E72*D72</f>
        <v>0</v>
      </c>
    </row>
    <row r="73" spans="1:7" x14ac:dyDescent="0.35">
      <c r="A73" s="54"/>
      <c r="B73" s="79"/>
      <c r="C73" s="80"/>
      <c r="D73" s="81"/>
      <c r="E73" s="217"/>
      <c r="F73" s="82"/>
    </row>
    <row r="74" spans="1:7" ht="36" customHeight="1" x14ac:dyDescent="0.35">
      <c r="A74" s="54" t="s">
        <v>71</v>
      </c>
      <c r="B74" s="147" t="s">
        <v>149</v>
      </c>
      <c r="C74" s="80" t="s">
        <v>237</v>
      </c>
      <c r="D74" s="81">
        <v>2.2000000000000002</v>
      </c>
      <c r="E74" s="217"/>
      <c r="F74" s="82">
        <f>+D74*E74</f>
        <v>0</v>
      </c>
    </row>
    <row r="75" spans="1:7" x14ac:dyDescent="0.35">
      <c r="A75" s="54"/>
      <c r="B75" s="147"/>
      <c r="C75" s="80"/>
      <c r="D75" s="81"/>
      <c r="E75" s="217"/>
      <c r="F75" s="82"/>
    </row>
    <row r="76" spans="1:7" ht="29" x14ac:dyDescent="0.35">
      <c r="A76" s="54" t="s">
        <v>75</v>
      </c>
      <c r="B76" s="147" t="s">
        <v>115</v>
      </c>
      <c r="C76" s="80" t="s">
        <v>237</v>
      </c>
      <c r="D76" s="173">
        <f>'Izračuni_pred izmere'!X292</f>
        <v>7.05</v>
      </c>
      <c r="E76" s="174"/>
      <c r="G76" s="175">
        <f>+D76*E76</f>
        <v>0</v>
      </c>
    </row>
    <row r="77" spans="1:7" x14ac:dyDescent="0.35">
      <c r="A77" s="54"/>
      <c r="B77" s="77"/>
      <c r="C77" s="6"/>
      <c r="D77" s="1"/>
      <c r="E77" s="215"/>
      <c r="F77" s="78"/>
    </row>
    <row r="78" spans="1:7" x14ac:dyDescent="0.35">
      <c r="A78" s="54"/>
      <c r="B78" s="4" t="s">
        <v>74</v>
      </c>
      <c r="C78" s="5"/>
      <c r="D78" s="29"/>
      <c r="E78" s="214"/>
      <c r="F78" s="30">
        <f>SUM(F66:F77)</f>
        <v>0</v>
      </c>
      <c r="G78" s="30">
        <f>SUM(G66:G77)</f>
        <v>0</v>
      </c>
    </row>
    <row r="79" spans="1:7" x14ac:dyDescent="0.35">
      <c r="A79" s="54"/>
      <c r="B79" s="77"/>
      <c r="C79" s="6"/>
      <c r="D79" s="1"/>
      <c r="E79" s="215"/>
      <c r="F79" s="78"/>
    </row>
    <row r="80" spans="1:7" x14ac:dyDescent="0.35">
      <c r="A80" s="54"/>
      <c r="B80" s="77"/>
      <c r="C80" s="6"/>
      <c r="D80" s="1"/>
      <c r="E80" s="215"/>
      <c r="F80" s="78"/>
    </row>
    <row r="81" spans="1:8" x14ac:dyDescent="0.35">
      <c r="A81" s="54"/>
      <c r="B81" s="77"/>
      <c r="C81" s="6"/>
      <c r="D81" s="1"/>
      <c r="E81" s="215"/>
      <c r="F81" s="78"/>
    </row>
    <row r="82" spans="1:8" x14ac:dyDescent="0.35">
      <c r="A82" s="54"/>
      <c r="B82" s="77"/>
      <c r="C82" s="6"/>
      <c r="D82" s="1"/>
      <c r="E82" s="215"/>
      <c r="F82" s="78"/>
    </row>
    <row r="83" spans="1:8" x14ac:dyDescent="0.35">
      <c r="A83" s="54"/>
      <c r="B83" s="77"/>
      <c r="C83" s="6"/>
      <c r="D83" s="1"/>
      <c r="E83" s="215"/>
      <c r="F83" s="78"/>
    </row>
    <row r="84" spans="1:8" x14ac:dyDescent="0.35">
      <c r="A84" s="54"/>
      <c r="B84" s="77"/>
      <c r="C84" s="6"/>
      <c r="D84" s="1"/>
      <c r="E84" s="215"/>
      <c r="F84" s="78"/>
    </row>
    <row r="85" spans="1:8" x14ac:dyDescent="0.35">
      <c r="A85" s="2" t="s">
        <v>6</v>
      </c>
      <c r="B85" s="3" t="s">
        <v>7</v>
      </c>
      <c r="C85" s="6"/>
      <c r="D85" s="1"/>
      <c r="E85" s="215"/>
      <c r="F85" s="1"/>
    </row>
    <row r="86" spans="1:8" x14ac:dyDescent="0.35">
      <c r="A86" s="54"/>
      <c r="B86" s="160"/>
      <c r="C86" s="6"/>
      <c r="D86" s="1"/>
      <c r="E86" s="215"/>
      <c r="F86" s="1"/>
    </row>
    <row r="87" spans="1:8" ht="232" x14ac:dyDescent="0.35">
      <c r="A87" s="8">
        <v>1</v>
      </c>
      <c r="B87" s="126" t="s">
        <v>161</v>
      </c>
      <c r="C87" s="125" t="s">
        <v>235</v>
      </c>
      <c r="D87" s="47">
        <f>'Izračuni_pred izmere'!AE292</f>
        <v>3.8</v>
      </c>
      <c r="E87" s="169"/>
      <c r="F87" s="47">
        <f>E87*D87</f>
        <v>0</v>
      </c>
    </row>
    <row r="88" spans="1:8" x14ac:dyDescent="0.35">
      <c r="A88" s="8"/>
      <c r="B88" s="160"/>
      <c r="C88" s="6"/>
      <c r="D88" s="32"/>
      <c r="E88" s="148"/>
      <c r="F88" s="32"/>
    </row>
    <row r="89" spans="1:8" ht="188.5" x14ac:dyDescent="0.35">
      <c r="A89" s="128">
        <v>2</v>
      </c>
      <c r="B89" s="127" t="s">
        <v>93</v>
      </c>
      <c r="C89" s="125" t="s">
        <v>235</v>
      </c>
      <c r="D89" s="32">
        <f>'Izračuni_pred izmere'!Z292</f>
        <v>374.72</v>
      </c>
      <c r="E89" s="148"/>
      <c r="F89" s="32">
        <f>E89*D89</f>
        <v>0</v>
      </c>
    </row>
    <row r="90" spans="1:8" x14ac:dyDescent="0.35">
      <c r="A90" s="128"/>
      <c r="B90" s="127"/>
      <c r="C90" s="125"/>
      <c r="D90" s="32"/>
      <c r="E90" s="148"/>
      <c r="F90" s="32"/>
    </row>
    <row r="91" spans="1:8" ht="90.75" customHeight="1" x14ac:dyDescent="0.35">
      <c r="A91" s="128">
        <v>3</v>
      </c>
      <c r="B91" s="184" t="s">
        <v>105</v>
      </c>
      <c r="C91" s="125" t="s">
        <v>235</v>
      </c>
      <c r="D91" s="47">
        <f>'Izračuni_pred izmere'!AA292</f>
        <v>19.309999999999999</v>
      </c>
      <c r="E91" s="169"/>
      <c r="F91" s="47">
        <f>E91*D91</f>
        <v>0</v>
      </c>
    </row>
    <row r="92" spans="1:8" x14ac:dyDescent="0.35">
      <c r="A92" s="128"/>
      <c r="B92" s="184"/>
      <c r="C92" s="125"/>
      <c r="D92" s="47"/>
      <c r="E92" s="169"/>
      <c r="F92" s="47"/>
    </row>
    <row r="93" spans="1:8" ht="101.5" x14ac:dyDescent="0.35">
      <c r="A93" s="128">
        <v>4</v>
      </c>
      <c r="B93" s="126" t="s">
        <v>196</v>
      </c>
      <c r="C93" s="125" t="s">
        <v>235</v>
      </c>
      <c r="D93" s="47">
        <f>'Izračuni_pred izmere'!AB292</f>
        <v>44.41</v>
      </c>
      <c r="E93" s="169"/>
      <c r="G93" s="47">
        <f>E93*D93</f>
        <v>0</v>
      </c>
    </row>
    <row r="94" spans="1:8" x14ac:dyDescent="0.35">
      <c r="A94" s="128"/>
      <c r="B94" s="126"/>
      <c r="C94" s="125"/>
      <c r="D94" s="47"/>
      <c r="E94" s="169"/>
      <c r="F94" s="47"/>
    </row>
    <row r="95" spans="1:8" ht="93" customHeight="1" x14ac:dyDescent="0.35">
      <c r="A95" s="123">
        <v>5</v>
      </c>
      <c r="B95" s="147" t="s">
        <v>107</v>
      </c>
      <c r="C95" s="125" t="s">
        <v>236</v>
      </c>
      <c r="D95" s="47">
        <f>'Izračuni_pred izmere'!AC292</f>
        <v>25.75</v>
      </c>
      <c r="E95" s="169"/>
      <c r="F95" s="47">
        <f>E95*D95</f>
        <v>0</v>
      </c>
      <c r="H95" s="117"/>
    </row>
    <row r="96" spans="1:8" x14ac:dyDescent="0.35">
      <c r="B96" s="147"/>
      <c r="C96" s="125"/>
      <c r="D96" s="47"/>
      <c r="E96" s="169"/>
      <c r="F96" s="47"/>
      <c r="H96" s="117"/>
    </row>
    <row r="97" spans="1:12" ht="58" x14ac:dyDescent="0.35">
      <c r="A97" s="123">
        <v>6</v>
      </c>
      <c r="B97" s="126" t="s">
        <v>164</v>
      </c>
      <c r="C97" s="125" t="s">
        <v>237</v>
      </c>
      <c r="D97" s="47">
        <f>'Izračuni_pred izmere'!AF292</f>
        <v>0.35</v>
      </c>
      <c r="E97" s="169"/>
      <c r="F97" s="47">
        <f>E97*D97</f>
        <v>0</v>
      </c>
      <c r="H97" s="117"/>
    </row>
    <row r="98" spans="1:12" x14ac:dyDescent="0.35">
      <c r="B98" s="126"/>
      <c r="C98" s="125"/>
      <c r="D98" s="47"/>
      <c r="E98" s="169"/>
      <c r="F98" s="47"/>
      <c r="H98" s="117"/>
    </row>
    <row r="99" spans="1:12" ht="58" x14ac:dyDescent="0.35">
      <c r="A99" s="123">
        <v>7</v>
      </c>
      <c r="B99" s="126" t="s">
        <v>172</v>
      </c>
      <c r="C99" s="125" t="s">
        <v>235</v>
      </c>
      <c r="D99" s="47">
        <f>'Izračuni_pred izmere'!AD292</f>
        <v>32.049999999999997</v>
      </c>
      <c r="E99" s="169"/>
      <c r="G99" s="47">
        <f>E99*D99</f>
        <v>0</v>
      </c>
      <c r="H99" s="117"/>
    </row>
    <row r="100" spans="1:12" x14ac:dyDescent="0.35">
      <c r="B100" s="147"/>
      <c r="C100" s="125"/>
      <c r="D100" s="47"/>
      <c r="E100" s="169"/>
      <c r="F100" s="47"/>
      <c r="H100" s="117"/>
    </row>
    <row r="101" spans="1:12" ht="72.5" x14ac:dyDescent="0.35">
      <c r="A101" s="123">
        <v>8</v>
      </c>
      <c r="B101" s="147" t="s">
        <v>203</v>
      </c>
      <c r="C101" s="125" t="s">
        <v>8</v>
      </c>
      <c r="D101" s="32">
        <v>2</v>
      </c>
      <c r="E101" s="148"/>
      <c r="F101" s="104"/>
      <c r="G101" s="32">
        <f>E101*D101</f>
        <v>0</v>
      </c>
      <c r="H101" s="117"/>
    </row>
    <row r="102" spans="1:12" x14ac:dyDescent="0.35">
      <c r="B102" s="147"/>
      <c r="C102" s="125"/>
      <c r="D102" s="32"/>
      <c r="E102" s="148"/>
      <c r="F102" s="32"/>
      <c r="H102" s="117"/>
    </row>
    <row r="103" spans="1:12" ht="74.5" x14ac:dyDescent="0.35">
      <c r="A103" s="123">
        <v>14</v>
      </c>
      <c r="B103" s="126" t="s">
        <v>239</v>
      </c>
      <c r="C103" s="125" t="s">
        <v>235</v>
      </c>
      <c r="D103" s="32">
        <f>'Izračuni_pred izmere'!AH292</f>
        <v>105.5</v>
      </c>
      <c r="E103" s="148"/>
      <c r="F103" s="32">
        <f>E103*D103</f>
        <v>0</v>
      </c>
      <c r="I103" s="104"/>
      <c r="J103" s="104"/>
      <c r="K103" s="104"/>
      <c r="L103" s="104"/>
    </row>
    <row r="104" spans="1:12" x14ac:dyDescent="0.35">
      <c r="B104" s="127"/>
      <c r="C104" s="125"/>
      <c r="D104" s="32"/>
      <c r="E104" s="148"/>
      <c r="F104" s="32"/>
      <c r="I104" s="104"/>
      <c r="J104" s="104"/>
      <c r="K104" s="104"/>
      <c r="L104" s="104"/>
    </row>
    <row r="105" spans="1:12" x14ac:dyDescent="0.35">
      <c r="A105" s="8">
        <v>15</v>
      </c>
      <c r="B105" s="160" t="s">
        <v>125</v>
      </c>
      <c r="C105" s="6"/>
      <c r="D105" s="1"/>
      <c r="E105" s="215"/>
      <c r="F105" s="32">
        <f>E105*D105</f>
        <v>0</v>
      </c>
      <c r="I105" s="104"/>
      <c r="J105" s="104"/>
      <c r="K105" s="104"/>
      <c r="L105" s="104"/>
    </row>
    <row r="106" spans="1:12" x14ac:dyDescent="0.35">
      <c r="A106" s="54"/>
      <c r="B106" s="160" t="s">
        <v>9</v>
      </c>
      <c r="C106" s="6" t="s">
        <v>10</v>
      </c>
      <c r="D106" s="1">
        <v>15</v>
      </c>
      <c r="E106" s="215"/>
      <c r="F106" s="32">
        <f>E106*D106</f>
        <v>0</v>
      </c>
      <c r="I106" s="104"/>
      <c r="J106" s="104"/>
      <c r="K106" s="104"/>
      <c r="L106" s="104"/>
    </row>
    <row r="107" spans="1:12" x14ac:dyDescent="0.35">
      <c r="A107" s="54"/>
      <c r="B107" s="160" t="s">
        <v>11</v>
      </c>
      <c r="C107" s="6" t="s">
        <v>10</v>
      </c>
      <c r="D107" s="1">
        <v>30</v>
      </c>
      <c r="E107" s="215"/>
      <c r="F107" s="32">
        <f>E107*D107</f>
        <v>0</v>
      </c>
      <c r="I107" s="104"/>
      <c r="J107" s="104"/>
      <c r="K107" s="104"/>
      <c r="L107" s="104"/>
    </row>
    <row r="108" spans="1:12" x14ac:dyDescent="0.35">
      <c r="A108" s="54"/>
      <c r="B108" s="160"/>
      <c r="C108" s="6"/>
      <c r="D108" s="1"/>
      <c r="E108" s="215"/>
      <c r="F108" s="1"/>
      <c r="I108" s="104"/>
      <c r="J108" s="104"/>
      <c r="K108" s="104"/>
      <c r="L108" s="104"/>
    </row>
    <row r="109" spans="1:12" x14ac:dyDescent="0.35">
      <c r="A109" s="54"/>
      <c r="B109" s="4" t="s">
        <v>12</v>
      </c>
      <c r="C109" s="5"/>
      <c r="D109" s="29"/>
      <c r="E109" s="214"/>
      <c r="F109" s="30">
        <f>SUM(F85:F108)</f>
        <v>0</v>
      </c>
      <c r="G109" s="30">
        <f>SUM(G85:G108)</f>
        <v>0</v>
      </c>
      <c r="I109" s="104"/>
      <c r="J109" s="104"/>
      <c r="K109" s="104"/>
      <c r="L109" s="104"/>
    </row>
    <row r="110" spans="1:12" x14ac:dyDescent="0.35">
      <c r="A110" s="104"/>
      <c r="B110" s="128"/>
      <c r="C110" s="104"/>
      <c r="D110" s="1"/>
      <c r="E110" s="218"/>
      <c r="F110" s="104"/>
      <c r="I110" s="104"/>
      <c r="J110" s="104"/>
      <c r="K110" s="104"/>
      <c r="L110" s="104"/>
    </row>
    <row r="111" spans="1:12" x14ac:dyDescent="0.35">
      <c r="A111" s="9" t="s">
        <v>13</v>
      </c>
      <c r="B111" s="10" t="s">
        <v>14</v>
      </c>
      <c r="C111" s="11"/>
      <c r="D111" s="33"/>
      <c r="E111" s="219"/>
      <c r="F111" s="33"/>
      <c r="I111" s="104"/>
      <c r="J111" s="104"/>
      <c r="K111" s="104"/>
      <c r="L111" s="104"/>
    </row>
    <row r="112" spans="1:12" x14ac:dyDescent="0.35">
      <c r="A112" s="12"/>
      <c r="B112" s="129"/>
      <c r="C112" s="130"/>
      <c r="D112" s="44"/>
      <c r="E112" s="220"/>
      <c r="F112" s="44"/>
      <c r="I112" s="104"/>
      <c r="J112" s="104"/>
      <c r="K112" s="104"/>
      <c r="L112" s="104"/>
    </row>
    <row r="113" spans="1:12" ht="87" x14ac:dyDescent="0.35">
      <c r="A113" s="12" t="s">
        <v>4</v>
      </c>
      <c r="B113" s="176" t="s">
        <v>106</v>
      </c>
      <c r="C113" s="125" t="s">
        <v>235</v>
      </c>
      <c r="D113" s="32">
        <f>'Izračuni_pred izmere'!AJ292</f>
        <v>406.24</v>
      </c>
      <c r="E113" s="148"/>
      <c r="F113" s="32">
        <f>E113*D113</f>
        <v>0</v>
      </c>
      <c r="I113" s="104"/>
      <c r="J113" s="104"/>
      <c r="K113" s="104"/>
      <c r="L113" s="104"/>
    </row>
    <row r="114" spans="1:12" x14ac:dyDescent="0.35">
      <c r="A114" s="12"/>
      <c r="B114" s="129"/>
      <c r="C114" s="130"/>
      <c r="D114" s="44"/>
      <c r="E114" s="220"/>
      <c r="F114" s="44"/>
      <c r="I114" s="104"/>
      <c r="J114" s="104"/>
      <c r="K114" s="104"/>
      <c r="L114" s="104"/>
    </row>
    <row r="115" spans="1:12" ht="43.5" x14ac:dyDescent="0.35">
      <c r="A115" s="128">
        <v>2</v>
      </c>
      <c r="B115" s="127" t="s">
        <v>103</v>
      </c>
      <c r="C115" s="125" t="s">
        <v>236</v>
      </c>
      <c r="D115" s="32">
        <f>'Izračuni_pred izmere'!AK292</f>
        <v>4.2</v>
      </c>
      <c r="E115" s="148"/>
      <c r="F115" s="32">
        <f>E115*D115</f>
        <v>0</v>
      </c>
      <c r="I115" s="104"/>
      <c r="J115" s="104"/>
      <c r="K115" s="104"/>
      <c r="L115" s="104"/>
    </row>
    <row r="116" spans="1:12" x14ac:dyDescent="0.35">
      <c r="A116" s="128"/>
      <c r="B116" s="127"/>
      <c r="C116" s="125"/>
      <c r="D116" s="32"/>
      <c r="E116" s="148"/>
      <c r="F116" s="32"/>
      <c r="I116" s="104"/>
      <c r="J116" s="104"/>
      <c r="K116" s="104"/>
      <c r="L116" s="104"/>
    </row>
    <row r="117" spans="1:12" x14ac:dyDescent="0.35">
      <c r="A117" s="128"/>
      <c r="B117" s="127"/>
      <c r="C117" s="125"/>
      <c r="D117" s="32"/>
      <c r="E117" s="148"/>
      <c r="F117" s="32"/>
      <c r="I117" s="104"/>
      <c r="J117" s="104"/>
      <c r="K117" s="104"/>
      <c r="L117" s="104"/>
    </row>
    <row r="118" spans="1:12" x14ac:dyDescent="0.35">
      <c r="A118" s="128"/>
      <c r="B118" s="127"/>
      <c r="C118" s="125"/>
      <c r="D118" s="32"/>
      <c r="E118" s="148"/>
      <c r="F118" s="32"/>
      <c r="I118" s="104"/>
      <c r="J118" s="104"/>
      <c r="K118" s="104"/>
      <c r="L118" s="104"/>
    </row>
    <row r="119" spans="1:12" ht="29" x14ac:dyDescent="0.35">
      <c r="A119" s="128">
        <v>3</v>
      </c>
      <c r="B119" s="127" t="s">
        <v>167</v>
      </c>
      <c r="C119" s="6" t="s">
        <v>235</v>
      </c>
      <c r="D119" s="32">
        <f>'Izračuni_pred izmere'!AL292</f>
        <v>11.91</v>
      </c>
      <c r="E119" s="148"/>
      <c r="F119" s="32">
        <f>E119*D119</f>
        <v>0</v>
      </c>
      <c r="I119" s="104"/>
      <c r="J119" s="104"/>
      <c r="K119" s="104"/>
      <c r="L119" s="104"/>
    </row>
    <row r="120" spans="1:12" x14ac:dyDescent="0.35">
      <c r="A120" s="128"/>
      <c r="B120" s="127"/>
      <c r="C120" s="125"/>
      <c r="D120" s="32"/>
      <c r="E120" s="32"/>
      <c r="F120" s="32"/>
      <c r="I120" s="104"/>
      <c r="J120" s="104"/>
      <c r="K120" s="104"/>
      <c r="L120" s="104"/>
    </row>
    <row r="121" spans="1:12" x14ac:dyDescent="0.35">
      <c r="A121" s="12"/>
      <c r="B121" s="13" t="s">
        <v>15</v>
      </c>
      <c r="C121" s="14"/>
      <c r="D121" s="34"/>
      <c r="E121" s="34"/>
      <c r="F121" s="35">
        <f>SUM(F111:F120)</f>
        <v>0</v>
      </c>
      <c r="G121" s="35">
        <f>SUM(G111:G120)</f>
        <v>0</v>
      </c>
      <c r="I121" s="104"/>
      <c r="J121" s="104"/>
      <c r="K121" s="104"/>
      <c r="L121" s="104"/>
    </row>
    <row r="122" spans="1:12" x14ac:dyDescent="0.35">
      <c r="A122" s="12"/>
      <c r="B122" s="15"/>
      <c r="C122" s="11"/>
      <c r="D122" s="1"/>
      <c r="E122" s="33"/>
      <c r="F122" s="36"/>
      <c r="I122" s="104"/>
      <c r="J122" s="104"/>
      <c r="K122" s="104"/>
      <c r="L122" s="104"/>
    </row>
    <row r="123" spans="1:12" x14ac:dyDescent="0.35">
      <c r="A123" s="16" t="s">
        <v>16</v>
      </c>
      <c r="B123" s="17" t="s">
        <v>17</v>
      </c>
      <c r="C123" s="18"/>
      <c r="D123" s="37"/>
      <c r="E123" s="37"/>
      <c r="F123" s="37"/>
      <c r="I123" s="104"/>
      <c r="J123" s="104"/>
      <c r="K123" s="104"/>
      <c r="L123" s="104"/>
    </row>
    <row r="124" spans="1:12" x14ac:dyDescent="0.35">
      <c r="A124" s="16"/>
      <c r="B124" s="17"/>
      <c r="C124" s="18"/>
      <c r="D124" s="37"/>
      <c r="E124" s="37"/>
      <c r="F124" s="37"/>
      <c r="I124" s="104"/>
      <c r="J124" s="104"/>
      <c r="K124" s="104"/>
      <c r="L124" s="104"/>
    </row>
    <row r="125" spans="1:12" x14ac:dyDescent="0.35">
      <c r="A125" s="16"/>
      <c r="B125" s="241" t="s">
        <v>80</v>
      </c>
      <c r="C125" s="242"/>
      <c r="D125" s="242"/>
      <c r="E125" s="242"/>
      <c r="F125" s="242"/>
      <c r="I125" s="104"/>
      <c r="J125" s="104"/>
      <c r="K125" s="104"/>
      <c r="L125" s="104"/>
    </row>
    <row r="126" spans="1:12" ht="95.25" customHeight="1" x14ac:dyDescent="0.35">
      <c r="A126" s="16"/>
      <c r="B126" s="242"/>
      <c r="C126" s="242"/>
      <c r="D126" s="242"/>
      <c r="E126" s="242"/>
      <c r="F126" s="242"/>
      <c r="I126" s="104"/>
      <c r="J126" s="104"/>
      <c r="K126" s="104"/>
      <c r="L126" s="104"/>
    </row>
    <row r="127" spans="1:12" x14ac:dyDescent="0.35">
      <c r="A127" s="19"/>
      <c r="B127" s="20"/>
      <c r="C127" s="7"/>
      <c r="D127" s="31"/>
      <c r="E127" s="31"/>
      <c r="F127" s="31"/>
      <c r="I127" s="104"/>
      <c r="J127" s="104"/>
      <c r="K127" s="104"/>
      <c r="L127" s="104"/>
    </row>
    <row r="128" spans="1:12" ht="163.5" x14ac:dyDescent="0.35">
      <c r="A128" s="19" t="s">
        <v>4</v>
      </c>
      <c r="B128" s="126" t="s">
        <v>240</v>
      </c>
      <c r="C128" s="125" t="s">
        <v>235</v>
      </c>
      <c r="D128" s="32">
        <f>'Izračuni_pred izmere'!AN292</f>
        <v>38.47</v>
      </c>
      <c r="E128" s="148"/>
      <c r="F128" s="32">
        <f>E128*D128</f>
        <v>0</v>
      </c>
      <c r="H128" s="117"/>
      <c r="I128" s="104"/>
      <c r="J128" s="104"/>
      <c r="K128" s="104"/>
      <c r="L128" s="104"/>
    </row>
    <row r="129" spans="1:12" x14ac:dyDescent="0.35">
      <c r="A129" s="19"/>
      <c r="B129" s="126"/>
      <c r="C129" s="125"/>
      <c r="D129" s="32"/>
      <c r="E129" s="148"/>
      <c r="F129" s="32"/>
      <c r="I129" s="104"/>
      <c r="J129" s="104"/>
      <c r="K129" s="104"/>
      <c r="L129" s="104"/>
    </row>
    <row r="130" spans="1:12" ht="171.75" customHeight="1" x14ac:dyDescent="0.35">
      <c r="A130" s="19" t="s">
        <v>31</v>
      </c>
      <c r="B130" s="160" t="s">
        <v>241</v>
      </c>
      <c r="C130" s="125" t="s">
        <v>235</v>
      </c>
      <c r="D130" s="32">
        <f>'Izračuni_pred izmere'!AO292</f>
        <v>335.97</v>
      </c>
      <c r="E130" s="148"/>
      <c r="F130" s="32">
        <f>E130*D130</f>
        <v>0</v>
      </c>
      <c r="I130" s="104"/>
      <c r="J130" s="104"/>
      <c r="K130" s="104"/>
      <c r="L130" s="104"/>
    </row>
    <row r="131" spans="1:12" x14ac:dyDescent="0.35">
      <c r="A131" s="19"/>
      <c r="B131" s="126"/>
      <c r="C131" s="125"/>
      <c r="D131" s="32"/>
      <c r="E131" s="148"/>
      <c r="F131" s="32"/>
      <c r="I131" s="104"/>
      <c r="J131" s="104"/>
      <c r="K131" s="104"/>
      <c r="L131" s="104"/>
    </row>
    <row r="132" spans="1:12" ht="89" x14ac:dyDescent="0.35">
      <c r="A132" s="19" t="s">
        <v>33</v>
      </c>
      <c r="B132" s="126" t="s">
        <v>242</v>
      </c>
      <c r="C132" s="125" t="s">
        <v>235</v>
      </c>
      <c r="D132" s="32">
        <f>'Izračuni_pred izmere'!AP292</f>
        <v>13.65</v>
      </c>
      <c r="E132" s="148"/>
      <c r="F132" s="32">
        <f>E132*D132</f>
        <v>0</v>
      </c>
      <c r="I132" s="104"/>
      <c r="J132" s="104"/>
      <c r="K132" s="104"/>
      <c r="L132" s="104"/>
    </row>
    <row r="133" spans="1:12" x14ac:dyDescent="0.35">
      <c r="A133" s="19"/>
      <c r="B133" s="126"/>
      <c r="C133" s="125"/>
      <c r="D133" s="32"/>
      <c r="E133" s="148"/>
      <c r="F133" s="32"/>
      <c r="I133" s="104"/>
      <c r="J133" s="104"/>
      <c r="K133" s="104"/>
      <c r="L133" s="104"/>
    </row>
    <row r="134" spans="1:12" ht="275.5" x14ac:dyDescent="0.35">
      <c r="A134" s="123">
        <v>4</v>
      </c>
      <c r="B134" s="126" t="s">
        <v>101</v>
      </c>
      <c r="C134" s="125" t="s">
        <v>235</v>
      </c>
      <c r="D134" s="32">
        <f>'Izračuni_pred izmere'!AQ292</f>
        <v>391.41</v>
      </c>
      <c r="E134" s="148"/>
      <c r="F134" s="32">
        <f>E134*D134</f>
        <v>0</v>
      </c>
      <c r="I134" s="104"/>
      <c r="J134" s="104"/>
      <c r="K134" s="104"/>
      <c r="L134" s="104"/>
    </row>
    <row r="135" spans="1:12" x14ac:dyDescent="0.35">
      <c r="B135" s="126"/>
      <c r="C135" s="125"/>
      <c r="D135" s="32"/>
      <c r="E135" s="148"/>
      <c r="F135" s="32"/>
      <c r="I135" s="104"/>
      <c r="J135" s="104"/>
      <c r="K135" s="104"/>
      <c r="L135" s="104"/>
    </row>
    <row r="136" spans="1:12" ht="174" x14ac:dyDescent="0.35">
      <c r="A136" s="123">
        <v>5</v>
      </c>
      <c r="B136" s="126" t="s">
        <v>204</v>
      </c>
      <c r="C136" s="125" t="s">
        <v>235</v>
      </c>
      <c r="D136" s="32">
        <f>'Izračuni_pred izmere'!AR292</f>
        <v>8.57</v>
      </c>
      <c r="E136" s="148"/>
      <c r="F136" s="32">
        <f>E136*D136</f>
        <v>0</v>
      </c>
      <c r="I136" s="104"/>
      <c r="J136" s="104"/>
      <c r="K136" s="104"/>
      <c r="L136" s="104"/>
    </row>
    <row r="137" spans="1:12" x14ac:dyDescent="0.35">
      <c r="B137" s="126"/>
      <c r="C137" s="125"/>
      <c r="D137" s="32"/>
      <c r="E137" s="148"/>
      <c r="F137" s="32"/>
      <c r="I137" s="104"/>
      <c r="J137" s="104"/>
      <c r="K137" s="104"/>
      <c r="L137" s="104"/>
    </row>
    <row r="138" spans="1:12" x14ac:dyDescent="0.35">
      <c r="A138" s="19"/>
      <c r="B138" s="21" t="s">
        <v>18</v>
      </c>
      <c r="C138" s="22"/>
      <c r="D138" s="38"/>
      <c r="E138" s="221"/>
      <c r="F138" s="39">
        <f>SUM(F128:F137)</f>
        <v>0</v>
      </c>
      <c r="G138" s="39">
        <f>SUM(G128:G137)</f>
        <v>0</v>
      </c>
      <c r="I138" s="104"/>
      <c r="J138" s="104"/>
      <c r="K138" s="104"/>
      <c r="L138" s="104"/>
    </row>
    <row r="139" spans="1:12" x14ac:dyDescent="0.35">
      <c r="A139" s="19"/>
      <c r="B139" s="182"/>
      <c r="C139" s="18"/>
      <c r="D139" s="1"/>
      <c r="E139" s="222"/>
      <c r="F139" s="183"/>
      <c r="I139" s="104"/>
      <c r="J139" s="104"/>
      <c r="K139" s="104"/>
      <c r="L139" s="104"/>
    </row>
    <row r="140" spans="1:12" x14ac:dyDescent="0.35">
      <c r="A140" s="26"/>
      <c r="B140" s="28"/>
      <c r="C140" s="25"/>
      <c r="D140" s="40"/>
      <c r="E140" s="223"/>
      <c r="F140" s="43"/>
      <c r="I140" s="104"/>
      <c r="J140" s="104"/>
      <c r="K140" s="104"/>
      <c r="L140" s="104"/>
    </row>
    <row r="141" spans="1:12" x14ac:dyDescent="0.35">
      <c r="A141" s="23" t="s">
        <v>19</v>
      </c>
      <c r="B141" s="24" t="s">
        <v>22</v>
      </c>
      <c r="C141" s="25"/>
      <c r="D141" s="40"/>
      <c r="E141" s="223"/>
      <c r="F141" s="40"/>
      <c r="I141" s="104"/>
      <c r="J141" s="104"/>
      <c r="K141" s="104"/>
      <c r="L141" s="104"/>
    </row>
    <row r="142" spans="1:12" x14ac:dyDescent="0.35">
      <c r="A142" s="26"/>
      <c r="B142" s="103"/>
      <c r="C142" s="7"/>
      <c r="D142" s="31"/>
      <c r="E142" s="224"/>
      <c r="F142" s="31"/>
      <c r="I142" s="104"/>
      <c r="J142" s="104"/>
      <c r="K142" s="104"/>
      <c r="L142" s="104"/>
    </row>
    <row r="143" spans="1:12" ht="72.5" x14ac:dyDescent="0.35">
      <c r="A143" s="123">
        <v>1</v>
      </c>
      <c r="B143" s="103" t="s">
        <v>143</v>
      </c>
      <c r="C143" s="125" t="s">
        <v>236</v>
      </c>
      <c r="D143" s="32">
        <f>'Izračuni_pred izmere'!AU292</f>
        <v>24.72</v>
      </c>
      <c r="E143" s="148"/>
      <c r="F143" s="32">
        <f>E143*D143</f>
        <v>0</v>
      </c>
    </row>
    <row r="144" spans="1:12" x14ac:dyDescent="0.35">
      <c r="B144" s="103"/>
      <c r="C144" s="125"/>
      <c r="D144" s="32"/>
      <c r="E144" s="148"/>
      <c r="F144" s="32"/>
    </row>
    <row r="145" spans="1:12" ht="62.25" customHeight="1" x14ac:dyDescent="0.35">
      <c r="A145" s="123">
        <v>2</v>
      </c>
      <c r="B145" s="103" t="s">
        <v>182</v>
      </c>
      <c r="C145" s="125" t="s">
        <v>235</v>
      </c>
      <c r="D145" s="32">
        <f>'Izračuni_pred izmere'!AV292</f>
        <v>3.65</v>
      </c>
      <c r="E145" s="148"/>
      <c r="F145" s="32">
        <f>E145*D145</f>
        <v>0</v>
      </c>
    </row>
    <row r="146" spans="1:12" x14ac:dyDescent="0.35">
      <c r="B146" s="103"/>
      <c r="C146" s="125"/>
      <c r="D146" s="32"/>
      <c r="E146" s="148"/>
      <c r="F146" s="32"/>
    </row>
    <row r="147" spans="1:12" ht="58" x14ac:dyDescent="0.35">
      <c r="A147" s="123">
        <v>3</v>
      </c>
      <c r="B147" s="103" t="s">
        <v>184</v>
      </c>
      <c r="C147" s="125" t="s">
        <v>236</v>
      </c>
      <c r="D147" s="32">
        <f>'Izračuni_pred izmere'!AW292</f>
        <v>2.63</v>
      </c>
      <c r="E147" s="148"/>
      <c r="F147" s="32">
        <f>E147*D147</f>
        <v>0</v>
      </c>
    </row>
    <row r="148" spans="1:12" x14ac:dyDescent="0.35">
      <c r="B148" s="103"/>
      <c r="C148" s="125"/>
      <c r="D148" s="32"/>
      <c r="E148" s="148"/>
      <c r="F148" s="32"/>
    </row>
    <row r="149" spans="1:12" ht="58" x14ac:dyDescent="0.35">
      <c r="A149" s="123">
        <v>4</v>
      </c>
      <c r="B149" s="103" t="s">
        <v>186</v>
      </c>
      <c r="C149" s="125" t="s">
        <v>236</v>
      </c>
      <c r="D149" s="32">
        <f>'Izračuni_pred izmere'!AX292</f>
        <v>3.32</v>
      </c>
      <c r="E149" s="148"/>
      <c r="F149" s="32">
        <f>E149*D149</f>
        <v>0</v>
      </c>
    </row>
    <row r="150" spans="1:12" x14ac:dyDescent="0.35">
      <c r="B150" s="103"/>
      <c r="C150" s="125"/>
      <c r="D150" s="32"/>
      <c r="E150" s="148"/>
      <c r="F150" s="32"/>
    </row>
    <row r="151" spans="1:12" x14ac:dyDescent="0.35">
      <c r="A151" s="26"/>
      <c r="B151" s="102" t="s">
        <v>23</v>
      </c>
      <c r="C151" s="27"/>
      <c r="D151" s="41"/>
      <c r="E151" s="225"/>
      <c r="F151" s="42">
        <f>SUM(F141:F150)</f>
        <v>0</v>
      </c>
      <c r="G151" s="42">
        <f>SUM(G141:G150)</f>
        <v>0</v>
      </c>
      <c r="I151" s="104"/>
      <c r="J151" s="104"/>
      <c r="K151" s="104"/>
      <c r="L151" s="104"/>
    </row>
    <row r="152" spans="1:12" x14ac:dyDescent="0.35">
      <c r="D152" s="1"/>
      <c r="E152" s="226"/>
      <c r="I152" s="104"/>
      <c r="J152" s="104"/>
      <c r="K152" s="104"/>
      <c r="L152" s="104"/>
    </row>
    <row r="153" spans="1:12" x14ac:dyDescent="0.35">
      <c r="A153" s="23" t="s">
        <v>20</v>
      </c>
      <c r="B153" s="24" t="s">
        <v>128</v>
      </c>
      <c r="E153" s="226"/>
      <c r="I153" s="104"/>
      <c r="J153" s="104"/>
      <c r="K153" s="104"/>
      <c r="L153" s="104"/>
    </row>
    <row r="154" spans="1:12" x14ac:dyDescent="0.35">
      <c r="A154" s="26"/>
      <c r="B154" s="103"/>
      <c r="E154" s="226"/>
      <c r="I154" s="104"/>
      <c r="J154" s="104"/>
      <c r="K154" s="104"/>
      <c r="L154" s="104"/>
    </row>
    <row r="155" spans="1:12" ht="103.5" x14ac:dyDescent="0.35">
      <c r="A155" s="26" t="s">
        <v>4</v>
      </c>
      <c r="B155" s="185" t="s">
        <v>243</v>
      </c>
      <c r="C155" s="125" t="s">
        <v>235</v>
      </c>
      <c r="D155" s="149">
        <f>'Izračuni_pred izmere'!BA292</f>
        <v>27.97</v>
      </c>
      <c r="E155" s="150"/>
      <c r="G155" s="149">
        <f>E155*D155</f>
        <v>0</v>
      </c>
      <c r="I155" s="104"/>
      <c r="J155" s="104"/>
      <c r="K155" s="104"/>
      <c r="L155" s="104"/>
    </row>
    <row r="156" spans="1:12" x14ac:dyDescent="0.35">
      <c r="A156" s="26"/>
      <c r="B156" s="185"/>
      <c r="C156" s="125"/>
      <c r="D156" s="149"/>
      <c r="E156" s="150"/>
      <c r="G156" s="149"/>
      <c r="I156" s="104"/>
      <c r="J156" s="104"/>
      <c r="K156" s="104"/>
      <c r="L156" s="104"/>
    </row>
    <row r="157" spans="1:12" ht="74.5" x14ac:dyDescent="0.35">
      <c r="A157" s="26" t="s">
        <v>31</v>
      </c>
      <c r="B157" s="185" t="s">
        <v>244</v>
      </c>
      <c r="C157" s="125" t="s">
        <v>236</v>
      </c>
      <c r="D157" s="149">
        <f>'Izračuni_pred izmere'!BB292</f>
        <v>13.61</v>
      </c>
      <c r="E157" s="150"/>
      <c r="F157" s="104"/>
      <c r="G157" s="149">
        <f>E157*D157</f>
        <v>0</v>
      </c>
      <c r="I157" s="104"/>
      <c r="J157" s="104"/>
      <c r="K157" s="104"/>
      <c r="L157" s="104"/>
    </row>
    <row r="158" spans="1:12" x14ac:dyDescent="0.35">
      <c r="A158" s="26"/>
      <c r="B158" s="185"/>
      <c r="C158" s="125"/>
      <c r="D158" s="149"/>
      <c r="E158" s="150"/>
      <c r="G158" s="149"/>
      <c r="I158" s="104"/>
      <c r="J158" s="104"/>
      <c r="K158" s="104"/>
      <c r="L158" s="104"/>
    </row>
    <row r="159" spans="1:12" ht="60" x14ac:dyDescent="0.35">
      <c r="A159" s="26" t="s">
        <v>33</v>
      </c>
      <c r="B159" s="185" t="s">
        <v>245</v>
      </c>
      <c r="C159" s="125" t="s">
        <v>236</v>
      </c>
      <c r="D159" s="149">
        <f>'Izračuni_pred izmere'!BC292</f>
        <v>24.95</v>
      </c>
      <c r="E159" s="150"/>
      <c r="F159" s="104"/>
      <c r="G159" s="149">
        <f>E159*D159</f>
        <v>0</v>
      </c>
      <c r="I159" s="104"/>
      <c r="J159" s="104"/>
      <c r="K159" s="104"/>
      <c r="L159" s="104"/>
    </row>
    <row r="160" spans="1:12" x14ac:dyDescent="0.35">
      <c r="A160" s="26"/>
      <c r="B160" s="103"/>
      <c r="E160" s="226"/>
      <c r="I160" s="104"/>
      <c r="J160" s="104"/>
      <c r="K160" s="104"/>
      <c r="L160" s="104"/>
    </row>
    <row r="161" spans="1:12" ht="103.5" x14ac:dyDescent="0.35">
      <c r="A161" s="26" t="s">
        <v>71</v>
      </c>
      <c r="B161" s="185" t="s">
        <v>246</v>
      </c>
      <c r="C161" s="125" t="s">
        <v>235</v>
      </c>
      <c r="D161" s="149">
        <f>'Izračuni_pred izmere'!BD292</f>
        <v>14.62</v>
      </c>
      <c r="E161" s="150"/>
      <c r="G161" s="149">
        <f>E161*D161</f>
        <v>0</v>
      </c>
      <c r="I161" s="104"/>
      <c r="J161" s="104"/>
      <c r="K161" s="104"/>
      <c r="L161" s="104"/>
    </row>
    <row r="162" spans="1:12" x14ac:dyDescent="0.35">
      <c r="A162" s="26"/>
      <c r="B162" s="103"/>
      <c r="E162" s="226"/>
      <c r="I162" s="104"/>
      <c r="J162" s="104"/>
      <c r="K162" s="104"/>
      <c r="L162" s="104"/>
    </row>
    <row r="163" spans="1:12" ht="74.5" x14ac:dyDescent="0.35">
      <c r="A163" s="26" t="s">
        <v>75</v>
      </c>
      <c r="B163" s="185" t="s">
        <v>247</v>
      </c>
      <c r="C163" s="125" t="s">
        <v>236</v>
      </c>
      <c r="D163" s="149">
        <f>'Izračuni_pred izmere'!BE292</f>
        <v>10.08</v>
      </c>
      <c r="E163" s="150"/>
      <c r="F163" s="104"/>
      <c r="G163" s="149">
        <f>E163*D163</f>
        <v>0</v>
      </c>
      <c r="I163" s="104"/>
      <c r="J163" s="104"/>
      <c r="K163" s="104"/>
      <c r="L163" s="104"/>
    </row>
    <row r="164" spans="1:12" x14ac:dyDescent="0.35">
      <c r="A164" s="26"/>
      <c r="B164" s="185"/>
      <c r="C164" s="125"/>
      <c r="D164" s="149"/>
      <c r="E164" s="150"/>
      <c r="G164" s="149"/>
      <c r="I164" s="104"/>
      <c r="J164" s="104"/>
      <c r="K164" s="104"/>
      <c r="L164" s="104"/>
    </row>
    <row r="165" spans="1:12" ht="60" x14ac:dyDescent="0.35">
      <c r="A165" s="26" t="s">
        <v>81</v>
      </c>
      <c r="B165" s="185" t="s">
        <v>248</v>
      </c>
      <c r="C165" s="125" t="s">
        <v>236</v>
      </c>
      <c r="D165" s="149">
        <f>'Izračuni_pred izmere'!BF292</f>
        <v>7.35</v>
      </c>
      <c r="E165" s="150"/>
      <c r="F165" s="104"/>
      <c r="G165" s="149">
        <f>E165*D165</f>
        <v>0</v>
      </c>
      <c r="I165" s="104"/>
      <c r="J165" s="104"/>
      <c r="K165" s="104"/>
      <c r="L165" s="104"/>
    </row>
    <row r="166" spans="1:12" x14ac:dyDescent="0.35">
      <c r="A166" s="26"/>
      <c r="B166" s="185"/>
      <c r="C166" s="125"/>
      <c r="D166" s="149"/>
      <c r="E166" s="150"/>
      <c r="F166" s="104"/>
      <c r="G166" s="149"/>
      <c r="I166" s="104"/>
      <c r="J166" s="104"/>
      <c r="K166" s="104"/>
      <c r="L166" s="104"/>
    </row>
    <row r="167" spans="1:12" x14ac:dyDescent="0.35">
      <c r="A167" s="23"/>
      <c r="B167" s="102" t="s">
        <v>130</v>
      </c>
      <c r="C167" s="27"/>
      <c r="D167" s="41"/>
      <c r="E167" s="225"/>
      <c r="F167" s="42">
        <f>SUM(F153:F165)</f>
        <v>0</v>
      </c>
      <c r="G167" s="42">
        <f>SUM(G153:G165)</f>
        <v>0</v>
      </c>
      <c r="I167" s="104"/>
      <c r="J167" s="104"/>
      <c r="K167" s="104"/>
      <c r="L167" s="104"/>
    </row>
    <row r="168" spans="1:12" x14ac:dyDescent="0.35">
      <c r="A168" s="23"/>
      <c r="B168" s="28"/>
      <c r="C168" s="25"/>
      <c r="D168" s="1"/>
      <c r="E168" s="223"/>
      <c r="F168" s="43"/>
      <c r="G168" s="43"/>
      <c r="I168" s="104"/>
      <c r="J168" s="104"/>
      <c r="K168" s="104"/>
      <c r="L168" s="104"/>
    </row>
    <row r="169" spans="1:12" x14ac:dyDescent="0.35">
      <c r="A169" s="23"/>
      <c r="B169" s="28"/>
      <c r="C169" s="25"/>
      <c r="D169" s="40"/>
      <c r="E169" s="223"/>
      <c r="F169" s="43"/>
      <c r="G169" s="43"/>
      <c r="I169" s="104"/>
      <c r="J169" s="104"/>
      <c r="K169" s="104"/>
      <c r="L169" s="104"/>
    </row>
    <row r="170" spans="1:12" x14ac:dyDescent="0.35">
      <c r="A170" s="23"/>
      <c r="B170" s="28"/>
      <c r="C170" s="25"/>
      <c r="D170" s="40"/>
      <c r="E170" s="223"/>
      <c r="F170" s="43"/>
      <c r="G170" s="43"/>
      <c r="I170" s="104"/>
      <c r="J170" s="104"/>
      <c r="K170" s="104"/>
      <c r="L170" s="104"/>
    </row>
    <row r="171" spans="1:12" x14ac:dyDescent="0.35">
      <c r="A171" s="23" t="s">
        <v>41</v>
      </c>
      <c r="B171" s="24" t="s">
        <v>78</v>
      </c>
      <c r="E171" s="226"/>
      <c r="I171" s="104"/>
      <c r="J171" s="104"/>
      <c r="K171" s="104"/>
      <c r="L171" s="104"/>
    </row>
    <row r="172" spans="1:12" x14ac:dyDescent="0.35">
      <c r="E172" s="226"/>
      <c r="I172" s="104"/>
      <c r="J172" s="104"/>
      <c r="K172" s="104"/>
      <c r="L172" s="104"/>
    </row>
    <row r="173" spans="1:12" ht="145" x14ac:dyDescent="0.35">
      <c r="A173" s="123">
        <v>1</v>
      </c>
      <c r="B173" s="178" t="s">
        <v>200</v>
      </c>
      <c r="C173" s="125" t="s">
        <v>235</v>
      </c>
      <c r="D173" s="58">
        <f>'Izračuni_pred izmere'!BH292</f>
        <v>16.97</v>
      </c>
      <c r="E173" s="153"/>
      <c r="G173" s="59">
        <f>E173*D173</f>
        <v>0</v>
      </c>
      <c r="I173" s="104"/>
      <c r="J173" s="104"/>
      <c r="K173" s="104"/>
      <c r="L173" s="104"/>
    </row>
    <row r="174" spans="1:12" x14ac:dyDescent="0.35">
      <c r="B174" s="178"/>
      <c r="C174" s="125"/>
      <c r="D174" s="58"/>
      <c r="E174" s="153"/>
      <c r="F174" s="59"/>
      <c r="I174" s="104"/>
      <c r="J174" s="104"/>
      <c r="K174" s="104"/>
      <c r="L174" s="104"/>
    </row>
    <row r="175" spans="1:12" ht="91.5" customHeight="1" x14ac:dyDescent="0.35">
      <c r="A175" s="123">
        <v>2</v>
      </c>
      <c r="B175" s="178" t="s">
        <v>202</v>
      </c>
      <c r="C175" s="125" t="s">
        <v>235</v>
      </c>
      <c r="D175" s="151">
        <v>5.6</v>
      </c>
      <c r="E175" s="152"/>
      <c r="G175" s="151">
        <f>E175*D175</f>
        <v>0</v>
      </c>
      <c r="I175" s="104"/>
      <c r="J175" s="104"/>
      <c r="K175" s="104"/>
      <c r="L175" s="104"/>
    </row>
    <row r="176" spans="1:12" x14ac:dyDescent="0.35">
      <c r="B176" s="178"/>
      <c r="C176" s="125"/>
      <c r="D176" s="151"/>
      <c r="E176" s="152"/>
      <c r="F176" s="151"/>
      <c r="I176" s="104"/>
      <c r="J176" s="104"/>
      <c r="K176" s="104"/>
      <c r="L176" s="104"/>
    </row>
    <row r="177" spans="1:12" ht="75.75" customHeight="1" x14ac:dyDescent="0.35">
      <c r="A177" s="123">
        <v>3</v>
      </c>
      <c r="B177" s="178" t="s">
        <v>175</v>
      </c>
      <c r="C177" s="125" t="s">
        <v>249</v>
      </c>
      <c r="D177" s="58">
        <f>'Izračuni_pred izmere'!BI292</f>
        <v>29.22</v>
      </c>
      <c r="E177" s="153"/>
      <c r="G177" s="59">
        <f>E177*D177</f>
        <v>0</v>
      </c>
      <c r="H177" s="117"/>
      <c r="I177" s="104"/>
      <c r="J177" s="104"/>
      <c r="K177" s="104"/>
      <c r="L177" s="104"/>
    </row>
    <row r="178" spans="1:12" x14ac:dyDescent="0.35">
      <c r="B178" s="178"/>
      <c r="C178" s="125"/>
      <c r="D178" s="58"/>
      <c r="E178" s="153"/>
      <c r="G178" s="59"/>
      <c r="H178" s="117"/>
      <c r="I178" s="104"/>
      <c r="J178" s="104"/>
      <c r="K178" s="104"/>
      <c r="L178" s="104"/>
    </row>
    <row r="179" spans="1:12" ht="58" x14ac:dyDescent="0.35">
      <c r="A179" s="123">
        <v>4</v>
      </c>
      <c r="B179" s="178" t="s">
        <v>177</v>
      </c>
      <c r="C179" s="125" t="s">
        <v>235</v>
      </c>
      <c r="D179" s="58">
        <f>'Izračuni_pred izmere'!BJ292</f>
        <v>15.04</v>
      </c>
      <c r="E179" s="153"/>
      <c r="G179" s="59">
        <f>E179*D179</f>
        <v>0</v>
      </c>
      <c r="H179" s="117"/>
      <c r="I179" s="104"/>
      <c r="J179" s="104"/>
      <c r="K179" s="104"/>
      <c r="L179" s="104"/>
    </row>
    <row r="180" spans="1:12" x14ac:dyDescent="0.35">
      <c r="B180" s="178"/>
      <c r="C180" s="125"/>
      <c r="D180" s="58"/>
      <c r="E180" s="153"/>
      <c r="G180" s="59"/>
      <c r="H180" s="117"/>
      <c r="I180" s="104"/>
      <c r="J180" s="104"/>
      <c r="K180" s="104"/>
      <c r="L180" s="104"/>
    </row>
    <row r="181" spans="1:12" x14ac:dyDescent="0.35">
      <c r="B181" s="102" t="s">
        <v>79</v>
      </c>
      <c r="C181" s="27"/>
      <c r="D181" s="41"/>
      <c r="E181" s="225"/>
      <c r="F181" s="42">
        <f>SUM(F172:F180)</f>
        <v>0</v>
      </c>
      <c r="G181" s="42">
        <f>SUM(G172:G180)</f>
        <v>0</v>
      </c>
      <c r="I181" s="104"/>
      <c r="J181" s="104"/>
      <c r="K181" s="104"/>
      <c r="L181" s="104"/>
    </row>
    <row r="182" spans="1:12" x14ac:dyDescent="0.35">
      <c r="D182" s="1"/>
      <c r="E182" s="226"/>
      <c r="I182" s="104"/>
      <c r="J182" s="104"/>
      <c r="K182" s="104"/>
      <c r="L182" s="104"/>
    </row>
    <row r="183" spans="1:12" x14ac:dyDescent="0.35">
      <c r="E183" s="226"/>
      <c r="I183" s="104"/>
      <c r="J183" s="104"/>
      <c r="K183" s="104"/>
      <c r="L183" s="104"/>
    </row>
    <row r="184" spans="1:12" x14ac:dyDescent="0.35">
      <c r="E184" s="226"/>
      <c r="I184" s="104"/>
      <c r="J184" s="104"/>
      <c r="K184" s="104"/>
      <c r="L184" s="104"/>
    </row>
    <row r="185" spans="1:12" x14ac:dyDescent="0.35">
      <c r="E185" s="226"/>
      <c r="I185" s="104"/>
      <c r="J185" s="104"/>
      <c r="K185" s="104"/>
      <c r="L185" s="104"/>
    </row>
    <row r="186" spans="1:12" x14ac:dyDescent="0.35">
      <c r="A186" s="23" t="s">
        <v>42</v>
      </c>
      <c r="B186" s="24" t="s">
        <v>37</v>
      </c>
      <c r="C186" s="25"/>
      <c r="D186" s="40"/>
      <c r="E186" s="223"/>
      <c r="F186" s="40"/>
      <c r="I186" s="104"/>
      <c r="J186" s="104"/>
      <c r="K186" s="104"/>
      <c r="L186" s="104"/>
    </row>
    <row r="187" spans="1:12" x14ac:dyDescent="0.35">
      <c r="A187" s="23"/>
      <c r="B187" s="103"/>
      <c r="C187" s="177"/>
      <c r="D187" s="177"/>
      <c r="E187" s="227"/>
      <c r="F187" s="177"/>
      <c r="I187" s="104"/>
      <c r="J187" s="104"/>
      <c r="K187" s="104"/>
      <c r="L187" s="104"/>
    </row>
    <row r="188" spans="1:12" ht="43.5" x14ac:dyDescent="0.35">
      <c r="A188" s="26" t="s">
        <v>4</v>
      </c>
      <c r="B188" s="133" t="s">
        <v>211</v>
      </c>
      <c r="C188" s="130"/>
      <c r="D188" s="101"/>
      <c r="E188" s="228"/>
      <c r="F188" s="57"/>
      <c r="I188" s="104"/>
      <c r="J188" s="104"/>
      <c r="K188" s="104"/>
      <c r="L188" s="104"/>
    </row>
    <row r="189" spans="1:12" ht="16.5" x14ac:dyDescent="0.35">
      <c r="A189" s="26"/>
      <c r="B189" s="129" t="s">
        <v>250</v>
      </c>
      <c r="C189" s="130" t="s">
        <v>8</v>
      </c>
      <c r="D189" s="186">
        <v>4</v>
      </c>
      <c r="E189" s="229"/>
      <c r="F189" s="186">
        <f>+E189*D189</f>
        <v>0</v>
      </c>
      <c r="I189" s="104"/>
      <c r="J189" s="104"/>
      <c r="K189" s="104"/>
      <c r="L189" s="104"/>
    </row>
    <row r="190" spans="1:12" ht="16.5" x14ac:dyDescent="0.35">
      <c r="A190" s="26"/>
      <c r="B190" s="129" t="s">
        <v>251</v>
      </c>
      <c r="C190" s="130" t="s">
        <v>8</v>
      </c>
      <c r="D190" s="186">
        <f>1+2</f>
        <v>3</v>
      </c>
      <c r="E190" s="229"/>
      <c r="F190" s="186">
        <f>+E190*D190</f>
        <v>0</v>
      </c>
      <c r="I190" s="104"/>
      <c r="J190" s="104"/>
      <c r="K190" s="104"/>
      <c r="L190" s="104"/>
    </row>
    <row r="191" spans="1:12" ht="16.5" x14ac:dyDescent="0.35">
      <c r="A191" s="26"/>
      <c r="B191" s="129" t="s">
        <v>252</v>
      </c>
      <c r="C191" s="130" t="s">
        <v>8</v>
      </c>
      <c r="D191" s="101">
        <v>1</v>
      </c>
      <c r="E191" s="228"/>
      <c r="F191" s="57">
        <f>E191*D191</f>
        <v>0</v>
      </c>
      <c r="I191" s="104"/>
      <c r="J191" s="104"/>
      <c r="K191" s="104"/>
      <c r="L191" s="104"/>
    </row>
    <row r="192" spans="1:12" ht="16.5" x14ac:dyDescent="0.35">
      <c r="A192" s="26"/>
      <c r="B192" s="129" t="s">
        <v>253</v>
      </c>
      <c r="C192" s="130" t="s">
        <v>8</v>
      </c>
      <c r="D192" s="101">
        <v>1</v>
      </c>
      <c r="E192" s="228"/>
      <c r="F192" s="57">
        <f t="shared" ref="F192:F193" si="1">E192*D192</f>
        <v>0</v>
      </c>
      <c r="I192" s="104"/>
      <c r="J192" s="104"/>
      <c r="K192" s="104"/>
      <c r="L192" s="104"/>
    </row>
    <row r="193" spans="1:12" ht="16.5" x14ac:dyDescent="0.35">
      <c r="A193" s="26"/>
      <c r="B193" s="129" t="s">
        <v>254</v>
      </c>
      <c r="C193" s="130" t="s">
        <v>8</v>
      </c>
      <c r="D193" s="101">
        <v>1</v>
      </c>
      <c r="E193" s="228"/>
      <c r="F193" s="57">
        <f t="shared" si="1"/>
        <v>0</v>
      </c>
      <c r="I193" s="104"/>
      <c r="J193" s="104"/>
      <c r="K193" s="104"/>
      <c r="L193" s="104"/>
    </row>
    <row r="194" spans="1:12" x14ac:dyDescent="0.35">
      <c r="A194" s="26"/>
      <c r="B194" s="129"/>
      <c r="C194" s="130"/>
      <c r="D194" s="101"/>
      <c r="E194" s="228"/>
      <c r="F194" s="57"/>
      <c r="I194" s="104"/>
      <c r="J194" s="104"/>
      <c r="K194" s="104"/>
      <c r="L194" s="104"/>
    </row>
    <row r="195" spans="1:12" x14ac:dyDescent="0.35">
      <c r="B195" s="102" t="s">
        <v>38</v>
      </c>
      <c r="C195" s="27"/>
      <c r="D195" s="41"/>
      <c r="E195" s="225"/>
      <c r="F195" s="42">
        <f>SUM(F188:F194)</f>
        <v>0</v>
      </c>
      <c r="G195" s="42">
        <f>SUM(G188:G194)</f>
        <v>0</v>
      </c>
      <c r="I195" s="104"/>
      <c r="J195" s="104"/>
      <c r="K195" s="104"/>
      <c r="L195" s="104"/>
    </row>
    <row r="196" spans="1:12" x14ac:dyDescent="0.35">
      <c r="D196" s="1"/>
      <c r="E196" s="226"/>
    </row>
    <row r="197" spans="1:12" x14ac:dyDescent="0.35">
      <c r="A197" s="23" t="s">
        <v>129</v>
      </c>
      <c r="B197" s="24" t="s">
        <v>25</v>
      </c>
      <c r="E197" s="226"/>
      <c r="I197" s="104"/>
      <c r="J197" s="104"/>
      <c r="K197" s="104"/>
      <c r="L197" s="104"/>
    </row>
    <row r="198" spans="1:12" x14ac:dyDescent="0.35">
      <c r="E198" s="226"/>
    </row>
    <row r="199" spans="1:12" ht="43.5" x14ac:dyDescent="0.35">
      <c r="A199" s="123">
        <v>1</v>
      </c>
      <c r="B199" s="127" t="s">
        <v>205</v>
      </c>
      <c r="C199" s="125" t="s">
        <v>8</v>
      </c>
      <c r="D199" s="32">
        <v>4</v>
      </c>
      <c r="E199" s="148"/>
      <c r="G199" s="32">
        <f>E199*D199</f>
        <v>0</v>
      </c>
      <c r="I199" s="104"/>
      <c r="J199" s="104"/>
      <c r="K199" s="104"/>
      <c r="L199" s="104"/>
    </row>
    <row r="200" spans="1:12" x14ac:dyDescent="0.35">
      <c r="E200" s="226"/>
    </row>
    <row r="201" spans="1:12" ht="116" x14ac:dyDescent="0.35">
      <c r="A201" s="123">
        <v>2</v>
      </c>
      <c r="B201" s="127" t="s">
        <v>154</v>
      </c>
      <c r="C201" s="125" t="s">
        <v>8</v>
      </c>
      <c r="D201" s="32">
        <v>3</v>
      </c>
      <c r="E201" s="148"/>
      <c r="F201" s="32">
        <f>E201*D201</f>
        <v>0</v>
      </c>
      <c r="I201" s="104"/>
      <c r="J201" s="104"/>
      <c r="K201" s="104"/>
      <c r="L201" s="104"/>
    </row>
    <row r="202" spans="1:12" x14ac:dyDescent="0.35">
      <c r="B202" s="127"/>
      <c r="C202" s="125"/>
      <c r="D202" s="32"/>
      <c r="E202" s="148"/>
      <c r="F202" s="32"/>
      <c r="I202" s="104"/>
      <c r="J202" s="104"/>
      <c r="K202" s="104"/>
      <c r="L202" s="104"/>
    </row>
    <row r="203" spans="1:12" ht="29" x14ac:dyDescent="0.35">
      <c r="A203" s="123">
        <v>3</v>
      </c>
      <c r="B203" s="127" t="s">
        <v>139</v>
      </c>
      <c r="C203" s="125" t="s">
        <v>8</v>
      </c>
      <c r="D203" s="32">
        <v>1</v>
      </c>
      <c r="E203" s="148"/>
      <c r="F203" s="32">
        <f>E203*D203</f>
        <v>0</v>
      </c>
      <c r="I203" s="104"/>
      <c r="J203" s="104"/>
      <c r="K203" s="104"/>
      <c r="L203" s="104"/>
    </row>
    <row r="204" spans="1:12" x14ac:dyDescent="0.35">
      <c r="B204" s="127"/>
      <c r="C204" s="125"/>
      <c r="D204" s="32"/>
      <c r="E204" s="148"/>
      <c r="F204" s="32"/>
      <c r="I204" s="104"/>
      <c r="J204" s="104"/>
      <c r="K204" s="104"/>
      <c r="L204" s="104"/>
    </row>
    <row r="205" spans="1:12" ht="43.5" x14ac:dyDescent="0.35">
      <c r="A205" s="123">
        <v>4</v>
      </c>
      <c r="B205" s="127" t="s">
        <v>155</v>
      </c>
      <c r="C205" s="125" t="s">
        <v>8</v>
      </c>
      <c r="D205" s="32">
        <v>1</v>
      </c>
      <c r="E205" s="148"/>
      <c r="F205" s="32">
        <f>E205*D205</f>
        <v>0</v>
      </c>
      <c r="I205" s="104"/>
      <c r="J205" s="104"/>
      <c r="K205" s="104"/>
      <c r="L205" s="104"/>
    </row>
    <row r="206" spans="1:12" x14ac:dyDescent="0.35">
      <c r="B206" s="126"/>
      <c r="C206" s="125"/>
      <c r="D206" s="32"/>
      <c r="E206" s="148"/>
      <c r="F206" s="32"/>
      <c r="I206" s="104"/>
      <c r="J206" s="104"/>
      <c r="K206" s="104"/>
      <c r="L206" s="104"/>
    </row>
    <row r="207" spans="1:12" ht="72.5" x14ac:dyDescent="0.35">
      <c r="A207" s="123">
        <v>5</v>
      </c>
      <c r="B207" s="126" t="s">
        <v>180</v>
      </c>
      <c r="C207" s="125" t="s">
        <v>235</v>
      </c>
      <c r="D207" s="32">
        <f>'Izračuni_pred izmere'!BR292</f>
        <v>16.62</v>
      </c>
      <c r="E207" s="148"/>
      <c r="G207" s="32">
        <f>D207*E207</f>
        <v>0</v>
      </c>
      <c r="I207" s="104"/>
      <c r="J207" s="104"/>
      <c r="K207" s="104"/>
      <c r="L207" s="104"/>
    </row>
    <row r="208" spans="1:12" x14ac:dyDescent="0.35">
      <c r="B208" s="127"/>
      <c r="C208" s="125"/>
      <c r="D208" s="32"/>
      <c r="E208" s="148"/>
      <c r="F208" s="32"/>
      <c r="I208" s="104"/>
      <c r="J208" s="104"/>
      <c r="K208" s="104"/>
      <c r="L208" s="104"/>
    </row>
    <row r="209" spans="1:12" ht="29" x14ac:dyDescent="0.35">
      <c r="A209" s="123">
        <v>6</v>
      </c>
      <c r="B209" s="133" t="s">
        <v>174</v>
      </c>
      <c r="C209" s="187" t="s">
        <v>8</v>
      </c>
      <c r="D209" s="151">
        <v>6</v>
      </c>
      <c r="E209" s="152"/>
      <c r="G209" s="188">
        <f>D209*E209</f>
        <v>0</v>
      </c>
      <c r="I209" s="104"/>
      <c r="J209" s="104"/>
      <c r="K209" s="104"/>
      <c r="L209" s="104"/>
    </row>
    <row r="210" spans="1:12" x14ac:dyDescent="0.35">
      <c r="B210" s="127"/>
      <c r="C210" s="125"/>
      <c r="D210" s="58"/>
      <c r="E210" s="153"/>
      <c r="F210" s="59"/>
      <c r="I210" s="104"/>
      <c r="J210" s="104"/>
      <c r="K210" s="104"/>
      <c r="L210" s="104"/>
    </row>
    <row r="211" spans="1:12" ht="43.5" x14ac:dyDescent="0.35">
      <c r="A211" s="123">
        <v>7</v>
      </c>
      <c r="B211" s="127" t="s">
        <v>109</v>
      </c>
      <c r="C211" s="125" t="s">
        <v>8</v>
      </c>
      <c r="D211" s="32">
        <v>1</v>
      </c>
      <c r="E211" s="148"/>
      <c r="G211" s="32">
        <f>E211*D211</f>
        <v>0</v>
      </c>
      <c r="I211" s="104"/>
      <c r="J211" s="104"/>
      <c r="K211" s="104"/>
      <c r="L211" s="104"/>
    </row>
    <row r="212" spans="1:12" x14ac:dyDescent="0.35">
      <c r="B212" s="127"/>
      <c r="C212" s="125"/>
      <c r="D212" s="32"/>
      <c r="E212" s="148"/>
      <c r="F212" s="32"/>
      <c r="I212" s="104"/>
      <c r="J212" s="104"/>
      <c r="K212" s="104"/>
      <c r="L212" s="104"/>
    </row>
    <row r="213" spans="1:12" ht="72.5" x14ac:dyDescent="0.35">
      <c r="A213" s="123">
        <v>8</v>
      </c>
      <c r="B213" s="127" t="s">
        <v>121</v>
      </c>
      <c r="C213" s="125" t="s">
        <v>8</v>
      </c>
      <c r="D213" s="32">
        <f>'Izračuni_pred izmere'!BQ292</f>
        <v>20</v>
      </c>
      <c r="E213" s="148"/>
      <c r="F213" s="32">
        <f>E213*D213</f>
        <v>0</v>
      </c>
      <c r="I213" s="104"/>
      <c r="J213" s="104"/>
      <c r="K213" s="104"/>
      <c r="L213" s="104"/>
    </row>
    <row r="214" spans="1:12" x14ac:dyDescent="0.35">
      <c r="B214" s="127"/>
      <c r="C214" s="125"/>
      <c r="D214" s="32"/>
      <c r="E214" s="148"/>
      <c r="F214" s="32"/>
      <c r="I214" s="104"/>
      <c r="J214" s="104"/>
      <c r="K214" s="104"/>
      <c r="L214" s="104"/>
    </row>
    <row r="215" spans="1:12" ht="101.5" x14ac:dyDescent="0.35">
      <c r="A215" s="123">
        <v>9</v>
      </c>
      <c r="B215" s="160" t="s">
        <v>193</v>
      </c>
      <c r="C215" s="125" t="s">
        <v>236</v>
      </c>
      <c r="D215" s="47">
        <f>'Izračuni_pred izmere'!P292</f>
        <v>14.36</v>
      </c>
      <c r="E215" s="169"/>
      <c r="G215" s="47">
        <f>D215*E215</f>
        <v>0</v>
      </c>
      <c r="I215" s="104"/>
      <c r="J215" s="104"/>
      <c r="K215" s="104"/>
      <c r="L215" s="104"/>
    </row>
    <row r="216" spans="1:12" x14ac:dyDescent="0.35">
      <c r="B216" s="127"/>
      <c r="C216" s="125"/>
      <c r="D216" s="32"/>
      <c r="E216" s="148"/>
      <c r="F216" s="32"/>
      <c r="I216" s="104"/>
      <c r="J216" s="104"/>
      <c r="K216" s="104"/>
      <c r="L216" s="104"/>
    </row>
    <row r="217" spans="1:12" ht="72.5" x14ac:dyDescent="0.35">
      <c r="A217" s="123">
        <v>10</v>
      </c>
      <c r="B217" s="160" t="s">
        <v>192</v>
      </c>
      <c r="C217" s="125" t="s">
        <v>236</v>
      </c>
      <c r="D217" s="47">
        <f>'Izračuni_pred izmere'!Q292</f>
        <v>16.649999999999999</v>
      </c>
      <c r="E217" s="169"/>
      <c r="G217" s="47">
        <f>D217*E217</f>
        <v>0</v>
      </c>
      <c r="I217" s="104"/>
      <c r="J217" s="104"/>
      <c r="K217" s="104"/>
      <c r="L217" s="104"/>
    </row>
    <row r="218" spans="1:12" x14ac:dyDescent="0.35">
      <c r="B218" s="160"/>
      <c r="C218" s="125"/>
      <c r="D218" s="47"/>
      <c r="E218" s="169"/>
      <c r="G218" s="47"/>
      <c r="I218" s="104"/>
      <c r="J218" s="104"/>
      <c r="K218" s="104"/>
      <c r="L218" s="104"/>
    </row>
    <row r="219" spans="1:12" ht="48" customHeight="1" x14ac:dyDescent="0.35">
      <c r="A219" s="123">
        <v>11</v>
      </c>
      <c r="B219" s="127" t="s">
        <v>122</v>
      </c>
      <c r="C219" s="125" t="s">
        <v>8</v>
      </c>
      <c r="D219" s="32">
        <v>1</v>
      </c>
      <c r="E219" s="148"/>
      <c r="F219" s="104"/>
      <c r="G219" s="32">
        <f>E219*D219</f>
        <v>0</v>
      </c>
      <c r="I219" s="104"/>
      <c r="J219" s="104"/>
      <c r="K219" s="104"/>
      <c r="L219" s="104"/>
    </row>
    <row r="220" spans="1:12" x14ac:dyDescent="0.35">
      <c r="B220" s="127"/>
      <c r="C220" s="125"/>
      <c r="D220" s="32"/>
      <c r="E220" s="148"/>
      <c r="F220" s="104"/>
      <c r="G220" s="32"/>
      <c r="I220" s="104"/>
      <c r="J220" s="104"/>
      <c r="K220" s="104"/>
      <c r="L220" s="104"/>
    </row>
    <row r="221" spans="1:12" ht="29" x14ac:dyDescent="0.35">
      <c r="A221" s="123">
        <v>12</v>
      </c>
      <c r="B221" s="189" t="s">
        <v>207</v>
      </c>
      <c r="C221" s="125"/>
      <c r="D221" s="32"/>
      <c r="E221" s="148"/>
      <c r="F221" s="104"/>
      <c r="G221" s="32"/>
      <c r="I221" s="104"/>
      <c r="J221" s="104"/>
      <c r="K221" s="104"/>
      <c r="L221" s="104"/>
    </row>
    <row r="222" spans="1:12" x14ac:dyDescent="0.35">
      <c r="B222" s="133" t="s">
        <v>208</v>
      </c>
      <c r="C222" s="80" t="s">
        <v>8</v>
      </c>
      <c r="D222" s="175">
        <v>4</v>
      </c>
      <c r="E222" s="174"/>
      <c r="F222" s="188">
        <f>D222*E222</f>
        <v>0</v>
      </c>
      <c r="G222" s="32"/>
      <c r="I222" s="104"/>
      <c r="J222" s="104"/>
      <c r="K222" s="104"/>
      <c r="L222" s="104"/>
    </row>
    <row r="223" spans="1:12" x14ac:dyDescent="0.35">
      <c r="B223" s="133"/>
      <c r="C223" s="80"/>
      <c r="D223" s="175"/>
      <c r="E223" s="174"/>
      <c r="F223" s="188"/>
      <c r="G223" s="32"/>
      <c r="I223" s="104"/>
      <c r="J223" s="104"/>
      <c r="K223" s="104"/>
      <c r="L223" s="104"/>
    </row>
    <row r="224" spans="1:12" ht="43.5" x14ac:dyDescent="0.35">
      <c r="A224" s="123">
        <v>13</v>
      </c>
      <c r="B224" s="133" t="s">
        <v>209</v>
      </c>
      <c r="C224" s="80" t="s">
        <v>8</v>
      </c>
      <c r="D224" s="175">
        <v>2</v>
      </c>
      <c r="E224" s="174"/>
      <c r="F224" s="188">
        <f>D224*E224</f>
        <v>0</v>
      </c>
      <c r="G224" s="32"/>
      <c r="I224" s="104"/>
      <c r="J224" s="104"/>
      <c r="K224" s="104"/>
      <c r="L224" s="104"/>
    </row>
    <row r="225" spans="1:12" x14ac:dyDescent="0.35">
      <c r="B225" s="133"/>
      <c r="C225" s="80"/>
      <c r="D225" s="175"/>
      <c r="E225" s="174"/>
      <c r="F225" s="188"/>
      <c r="G225" s="32"/>
      <c r="I225" s="104"/>
      <c r="J225" s="104"/>
      <c r="K225" s="104"/>
      <c r="L225" s="104"/>
    </row>
    <row r="226" spans="1:12" ht="91.5" customHeight="1" x14ac:dyDescent="0.35">
      <c r="A226" s="123">
        <v>14</v>
      </c>
      <c r="B226" s="133" t="s">
        <v>255</v>
      </c>
      <c r="C226" s="80" t="s">
        <v>8</v>
      </c>
      <c r="D226" s="175">
        <v>1</v>
      </c>
      <c r="E226" s="174"/>
      <c r="F226" s="188">
        <f>D226*E226</f>
        <v>0</v>
      </c>
      <c r="G226" s="32"/>
      <c r="I226" s="104"/>
      <c r="J226" s="104"/>
      <c r="K226" s="104"/>
      <c r="L226" s="104"/>
    </row>
    <row r="227" spans="1:12" x14ac:dyDescent="0.35">
      <c r="B227" s="133"/>
      <c r="C227" s="80"/>
      <c r="D227" s="175"/>
      <c r="E227" s="174"/>
      <c r="F227" s="188"/>
      <c r="G227" s="32"/>
      <c r="I227" s="104"/>
      <c r="J227" s="104"/>
      <c r="K227" s="104"/>
      <c r="L227" s="104"/>
    </row>
    <row r="228" spans="1:12" ht="58" x14ac:dyDescent="0.35">
      <c r="A228" s="123">
        <v>15</v>
      </c>
      <c r="B228" s="133" t="s">
        <v>216</v>
      </c>
      <c r="C228" s="80" t="s">
        <v>8</v>
      </c>
      <c r="D228" s="175">
        <v>2</v>
      </c>
      <c r="E228" s="174"/>
      <c r="F228" s="104"/>
      <c r="G228" s="188">
        <f>D228*E228</f>
        <v>0</v>
      </c>
      <c r="I228" s="104"/>
      <c r="J228" s="104"/>
      <c r="K228" s="104"/>
      <c r="L228" s="104"/>
    </row>
    <row r="229" spans="1:12" x14ac:dyDescent="0.35">
      <c r="B229" s="133"/>
      <c r="C229" s="80"/>
      <c r="D229" s="175"/>
      <c r="E229" s="174"/>
      <c r="F229" s="104"/>
      <c r="G229" s="188"/>
      <c r="I229" s="104"/>
      <c r="J229" s="104"/>
      <c r="K229" s="104"/>
      <c r="L229" s="104"/>
    </row>
    <row r="230" spans="1:12" ht="58" x14ac:dyDescent="0.35">
      <c r="A230" s="123">
        <v>16</v>
      </c>
      <c r="B230" s="133" t="s">
        <v>217</v>
      </c>
      <c r="C230" s="125" t="s">
        <v>235</v>
      </c>
      <c r="D230" s="32">
        <f>'Izračuni_pred izmere'!AG292</f>
        <v>25.26</v>
      </c>
      <c r="E230" s="148"/>
      <c r="G230" s="32">
        <f>D230*E230</f>
        <v>0</v>
      </c>
      <c r="I230" s="104"/>
      <c r="J230" s="104"/>
      <c r="K230" s="104"/>
      <c r="L230" s="104"/>
    </row>
    <row r="231" spans="1:12" x14ac:dyDescent="0.35">
      <c r="B231" s="127"/>
      <c r="C231" s="125"/>
      <c r="D231" s="32"/>
      <c r="E231" s="148"/>
      <c r="F231" s="32"/>
      <c r="I231" s="104"/>
      <c r="J231" s="104"/>
      <c r="K231" s="104"/>
      <c r="L231" s="104"/>
    </row>
    <row r="232" spans="1:12" x14ac:dyDescent="0.35">
      <c r="B232" s="102" t="s">
        <v>26</v>
      </c>
      <c r="C232" s="27"/>
      <c r="D232" s="41"/>
      <c r="E232" s="225"/>
      <c r="F232" s="42">
        <f>SUM(F197:F231)</f>
        <v>0</v>
      </c>
      <c r="G232" s="42">
        <f>SUM(G197:G231)</f>
        <v>0</v>
      </c>
      <c r="I232" s="104"/>
      <c r="J232" s="104"/>
      <c r="K232" s="104"/>
      <c r="L232" s="104"/>
    </row>
    <row r="233" spans="1:12" x14ac:dyDescent="0.35">
      <c r="D233" s="1"/>
      <c r="E233" s="226"/>
    </row>
    <row r="234" spans="1:12" x14ac:dyDescent="0.35">
      <c r="E234" s="226"/>
    </row>
    <row r="235" spans="1:12" x14ac:dyDescent="0.35">
      <c r="E235" s="226"/>
    </row>
    <row r="236" spans="1:12" x14ac:dyDescent="0.35">
      <c r="E236" s="226"/>
    </row>
    <row r="237" spans="1:12" x14ac:dyDescent="0.35">
      <c r="E237" s="226"/>
    </row>
    <row r="238" spans="1:12" x14ac:dyDescent="0.35">
      <c r="E238" s="226"/>
    </row>
    <row r="239" spans="1:12" x14ac:dyDescent="0.35">
      <c r="A239" s="179" t="s">
        <v>256</v>
      </c>
      <c r="B239" s="107" t="s">
        <v>257</v>
      </c>
      <c r="E239" s="226"/>
    </row>
    <row r="240" spans="1:12" x14ac:dyDescent="0.35">
      <c r="E240" s="226"/>
    </row>
    <row r="241" spans="1:6" x14ac:dyDescent="0.35">
      <c r="A241" s="123">
        <v>1</v>
      </c>
      <c r="B241" s="190" t="s">
        <v>258</v>
      </c>
      <c r="C241" s="191"/>
      <c r="D241" s="191"/>
      <c r="E241" s="230"/>
      <c r="F241" s="192"/>
    </row>
    <row r="242" spans="1:6" ht="43.5" x14ac:dyDescent="0.35">
      <c r="B242" s="193" t="s">
        <v>259</v>
      </c>
      <c r="C242" s="191"/>
      <c r="D242" s="191"/>
      <c r="E242" s="230"/>
      <c r="F242" s="192"/>
    </row>
    <row r="243" spans="1:6" ht="29" x14ac:dyDescent="0.35">
      <c r="B243" s="194" t="s">
        <v>260</v>
      </c>
      <c r="C243" s="191"/>
      <c r="D243" s="191"/>
      <c r="E243" s="230"/>
      <c r="F243" s="192"/>
    </row>
    <row r="244" spans="1:6" x14ac:dyDescent="0.35">
      <c r="B244" s="194" t="s">
        <v>261</v>
      </c>
      <c r="C244" s="191"/>
      <c r="D244" s="191"/>
      <c r="E244" s="230"/>
      <c r="F244" s="192"/>
    </row>
    <row r="245" spans="1:6" x14ac:dyDescent="0.35">
      <c r="B245" s="194" t="s">
        <v>262</v>
      </c>
      <c r="C245" s="191"/>
      <c r="D245" s="191"/>
      <c r="E245" s="230"/>
      <c r="F245" s="192"/>
    </row>
    <row r="246" spans="1:6" ht="29" x14ac:dyDescent="0.35">
      <c r="B246" s="194" t="s">
        <v>263</v>
      </c>
      <c r="C246" s="191"/>
      <c r="D246" s="191"/>
      <c r="E246" s="230"/>
      <c r="F246" s="192"/>
    </row>
    <row r="247" spans="1:6" ht="29" x14ac:dyDescent="0.35">
      <c r="B247" s="194" t="s">
        <v>264</v>
      </c>
      <c r="C247" s="191"/>
      <c r="D247" s="191"/>
      <c r="E247" s="230"/>
      <c r="F247" s="192"/>
    </row>
    <row r="248" spans="1:6" x14ac:dyDescent="0.35">
      <c r="B248" s="195" t="s">
        <v>265</v>
      </c>
      <c r="C248" s="171"/>
      <c r="D248" s="171"/>
      <c r="E248" s="231"/>
      <c r="F248" s="196"/>
    </row>
    <row r="249" spans="1:6" x14ac:dyDescent="0.35">
      <c r="B249" s="195" t="s">
        <v>266</v>
      </c>
      <c r="C249" s="171"/>
      <c r="D249" s="171"/>
      <c r="E249" s="231"/>
      <c r="F249" s="196"/>
    </row>
    <row r="250" spans="1:6" x14ac:dyDescent="0.35">
      <c r="B250" s="193"/>
      <c r="C250" s="197"/>
      <c r="D250" s="197"/>
      <c r="E250" s="232"/>
      <c r="F250" s="198"/>
    </row>
    <row r="251" spans="1:6" x14ac:dyDescent="0.35">
      <c r="B251" s="193" t="s">
        <v>267</v>
      </c>
      <c r="C251" s="197"/>
      <c r="D251" s="197"/>
      <c r="E251" s="232"/>
      <c r="F251" s="198"/>
    </row>
    <row r="252" spans="1:6" x14ac:dyDescent="0.35">
      <c r="B252" s="199" t="s">
        <v>268</v>
      </c>
      <c r="C252" s="197"/>
      <c r="D252" s="197"/>
      <c r="E252" s="232"/>
      <c r="F252" s="198"/>
    </row>
    <row r="253" spans="1:6" x14ac:dyDescent="0.35">
      <c r="B253" s="199" t="s">
        <v>269</v>
      </c>
      <c r="C253" s="197"/>
      <c r="D253" s="197"/>
      <c r="E253" s="232"/>
      <c r="F253" s="198"/>
    </row>
    <row r="254" spans="1:6" x14ac:dyDescent="0.35">
      <c r="B254" s="199" t="s">
        <v>270</v>
      </c>
      <c r="C254" s="197"/>
      <c r="D254" s="197"/>
      <c r="E254" s="232"/>
      <c r="F254" s="198"/>
    </row>
    <row r="255" spans="1:6" x14ac:dyDescent="0.35">
      <c r="B255" s="199" t="s">
        <v>271</v>
      </c>
      <c r="C255" s="197"/>
      <c r="D255" s="200"/>
      <c r="E255" s="233"/>
      <c r="F255" s="201"/>
    </row>
    <row r="256" spans="1:6" x14ac:dyDescent="0.35">
      <c r="B256" s="199" t="s">
        <v>272</v>
      </c>
      <c r="C256" s="197"/>
      <c r="D256" s="200"/>
      <c r="E256" s="233"/>
      <c r="F256" s="201"/>
    </row>
    <row r="257" spans="1:6" x14ac:dyDescent="0.35">
      <c r="B257" s="199" t="s">
        <v>273</v>
      </c>
      <c r="C257" s="197"/>
      <c r="D257" s="200"/>
      <c r="E257" s="233"/>
      <c r="F257" s="201"/>
    </row>
    <row r="258" spans="1:6" ht="29" x14ac:dyDescent="0.35">
      <c r="B258" s="199" t="s">
        <v>274</v>
      </c>
      <c r="C258" s="197"/>
      <c r="D258" s="200"/>
      <c r="E258" s="233"/>
      <c r="F258" s="201"/>
    </row>
    <row r="259" spans="1:6" x14ac:dyDescent="0.35">
      <c r="B259" s="199" t="s">
        <v>293</v>
      </c>
      <c r="C259" s="197"/>
      <c r="D259" s="200"/>
      <c r="E259" s="233"/>
      <c r="F259" s="201"/>
    </row>
    <row r="260" spans="1:6" x14ac:dyDescent="0.35">
      <c r="B260" s="199" t="s">
        <v>275</v>
      </c>
      <c r="C260" s="171" t="s">
        <v>276</v>
      </c>
      <c r="D260" s="202">
        <v>3</v>
      </c>
      <c r="E260" s="234"/>
      <c r="F260" s="204">
        <f>D260*E260</f>
        <v>0</v>
      </c>
    </row>
    <row r="261" spans="1:6" x14ac:dyDescent="0.35">
      <c r="B261" s="205"/>
      <c r="C261" s="206"/>
      <c r="D261" s="207"/>
      <c r="E261" s="235"/>
      <c r="F261" s="208"/>
    </row>
    <row r="262" spans="1:6" x14ac:dyDescent="0.35">
      <c r="A262" s="123">
        <v>2</v>
      </c>
      <c r="B262" s="190" t="s">
        <v>277</v>
      </c>
      <c r="C262" s="191"/>
      <c r="D262" s="203"/>
      <c r="E262" s="234"/>
      <c r="F262" s="204"/>
    </row>
    <row r="263" spans="1:6" ht="43.5" x14ac:dyDescent="0.35">
      <c r="B263" s="193" t="s">
        <v>259</v>
      </c>
      <c r="C263" s="191"/>
      <c r="D263" s="203"/>
      <c r="E263" s="234"/>
      <c r="F263" s="204"/>
    </row>
    <row r="264" spans="1:6" ht="29" x14ac:dyDescent="0.35">
      <c r="B264" s="194" t="s">
        <v>260</v>
      </c>
      <c r="C264" s="191"/>
      <c r="D264" s="203"/>
      <c r="E264" s="234"/>
      <c r="F264" s="204"/>
    </row>
    <row r="265" spans="1:6" x14ac:dyDescent="0.35">
      <c r="B265" s="194" t="s">
        <v>261</v>
      </c>
      <c r="C265" s="191"/>
      <c r="D265" s="203"/>
      <c r="E265" s="234"/>
      <c r="F265" s="204"/>
    </row>
    <row r="266" spans="1:6" x14ac:dyDescent="0.35">
      <c r="B266" s="194" t="s">
        <v>278</v>
      </c>
      <c r="C266" s="191"/>
      <c r="D266" s="203"/>
      <c r="E266" s="234"/>
      <c r="F266" s="204"/>
    </row>
    <row r="267" spans="1:6" ht="29" x14ac:dyDescent="0.35">
      <c r="B267" s="194" t="s">
        <v>279</v>
      </c>
      <c r="C267" s="191"/>
      <c r="D267" s="203"/>
      <c r="E267" s="234"/>
      <c r="F267" s="204"/>
    </row>
    <row r="268" spans="1:6" ht="29" x14ac:dyDescent="0.35">
      <c r="B268" s="194" t="s">
        <v>264</v>
      </c>
      <c r="C268" s="191"/>
      <c r="D268" s="203"/>
      <c r="E268" s="234"/>
      <c r="F268" s="204"/>
    </row>
    <row r="269" spans="1:6" x14ac:dyDescent="0.35">
      <c r="B269" s="195" t="s">
        <v>265</v>
      </c>
      <c r="C269" s="171"/>
      <c r="D269" s="202"/>
      <c r="E269" s="234"/>
      <c r="F269" s="204"/>
    </row>
    <row r="270" spans="1:6" x14ac:dyDescent="0.35">
      <c r="B270" s="195" t="s">
        <v>266</v>
      </c>
      <c r="C270" s="171"/>
      <c r="D270" s="202"/>
      <c r="E270" s="234"/>
      <c r="F270" s="204"/>
    </row>
    <row r="271" spans="1:6" x14ac:dyDescent="0.35">
      <c r="B271" s="193"/>
      <c r="C271" s="197"/>
      <c r="D271" s="200"/>
      <c r="E271" s="233"/>
      <c r="F271" s="201"/>
    </row>
    <row r="272" spans="1:6" x14ac:dyDescent="0.35">
      <c r="B272" s="193" t="s">
        <v>267</v>
      </c>
      <c r="C272" s="197"/>
      <c r="D272" s="200"/>
      <c r="E272" s="233"/>
      <c r="F272" s="201"/>
    </row>
    <row r="273" spans="1:6" x14ac:dyDescent="0.35">
      <c r="B273" s="199" t="s">
        <v>268</v>
      </c>
      <c r="C273" s="197"/>
      <c r="D273" s="200"/>
      <c r="E273" s="233"/>
      <c r="F273" s="201"/>
    </row>
    <row r="274" spans="1:6" x14ac:dyDescent="0.35">
      <c r="B274" s="199" t="s">
        <v>280</v>
      </c>
      <c r="C274" s="197"/>
      <c r="D274" s="200"/>
      <c r="E274" s="233"/>
      <c r="F274" s="201"/>
    </row>
    <row r="275" spans="1:6" x14ac:dyDescent="0.35">
      <c r="B275" s="199" t="s">
        <v>281</v>
      </c>
      <c r="C275" s="197"/>
      <c r="D275" s="200"/>
      <c r="E275" s="233"/>
      <c r="F275" s="201"/>
    </row>
    <row r="276" spans="1:6" x14ac:dyDescent="0.35">
      <c r="B276" s="199" t="s">
        <v>271</v>
      </c>
      <c r="C276" s="197"/>
      <c r="D276" s="200"/>
      <c r="E276" s="233"/>
      <c r="F276" s="201"/>
    </row>
    <row r="277" spans="1:6" x14ac:dyDescent="0.35">
      <c r="B277" s="199" t="s">
        <v>282</v>
      </c>
      <c r="C277" s="197"/>
      <c r="D277" s="200"/>
      <c r="E277" s="233"/>
      <c r="F277" s="201"/>
    </row>
    <row r="278" spans="1:6" x14ac:dyDescent="0.35">
      <c r="B278" s="199" t="s">
        <v>283</v>
      </c>
      <c r="C278" s="197"/>
      <c r="D278" s="200"/>
      <c r="E278" s="233"/>
      <c r="F278" s="201"/>
    </row>
    <row r="279" spans="1:6" ht="29" x14ac:dyDescent="0.35">
      <c r="B279" s="199" t="s">
        <v>284</v>
      </c>
      <c r="C279" s="197"/>
      <c r="D279" s="200"/>
      <c r="E279" s="233"/>
      <c r="F279" s="201"/>
    </row>
    <row r="280" spans="1:6" x14ac:dyDescent="0.35">
      <c r="B280" s="199" t="s">
        <v>294</v>
      </c>
      <c r="C280" s="197"/>
      <c r="D280" s="200"/>
      <c r="E280" s="233"/>
      <c r="F280" s="201"/>
    </row>
    <row r="281" spans="1:6" x14ac:dyDescent="0.35">
      <c r="B281" s="199" t="s">
        <v>285</v>
      </c>
      <c r="C281" s="171" t="s">
        <v>276</v>
      </c>
      <c r="D281" s="202">
        <v>8</v>
      </c>
      <c r="E281" s="234"/>
      <c r="F281" s="204">
        <f>D281*E281</f>
        <v>0</v>
      </c>
    </row>
    <row r="282" spans="1:6" x14ac:dyDescent="0.35">
      <c r="B282" s="205"/>
      <c r="C282" s="206"/>
      <c r="D282" s="207"/>
      <c r="E282" s="235"/>
      <c r="F282" s="208"/>
    </row>
    <row r="283" spans="1:6" x14ac:dyDescent="0.35">
      <c r="A283" s="123">
        <v>3</v>
      </c>
      <c r="B283" s="190" t="s">
        <v>286</v>
      </c>
      <c r="C283" s="171"/>
      <c r="D283" s="202"/>
      <c r="E283" s="234"/>
      <c r="F283" s="204"/>
    </row>
    <row r="284" spans="1:6" x14ac:dyDescent="0.35">
      <c r="B284" s="209" t="s">
        <v>287</v>
      </c>
      <c r="C284" s="171"/>
      <c r="D284" s="202"/>
      <c r="E284" s="234"/>
      <c r="F284" s="204"/>
    </row>
    <row r="285" spans="1:6" x14ac:dyDescent="0.35">
      <c r="B285" s="209" t="s">
        <v>288</v>
      </c>
      <c r="C285" s="171"/>
      <c r="D285" s="202"/>
      <c r="E285" s="234"/>
      <c r="F285" s="204"/>
    </row>
    <row r="286" spans="1:6" x14ac:dyDescent="0.35">
      <c r="B286" s="209" t="s">
        <v>289</v>
      </c>
      <c r="C286" s="171"/>
      <c r="D286" s="202"/>
      <c r="E286" s="234"/>
      <c r="F286" s="204"/>
    </row>
    <row r="287" spans="1:6" x14ac:dyDescent="0.35">
      <c r="B287" s="209" t="s">
        <v>290</v>
      </c>
      <c r="C287" s="171"/>
      <c r="D287" s="202"/>
      <c r="E287" s="234"/>
      <c r="F287" s="204"/>
    </row>
    <row r="288" spans="1:6" x14ac:dyDescent="0.35">
      <c r="B288" s="210" t="s">
        <v>291</v>
      </c>
      <c r="C288" s="171"/>
      <c r="D288" s="202"/>
      <c r="E288" s="234"/>
      <c r="F288" s="204"/>
    </row>
    <row r="289" spans="2:7" x14ac:dyDescent="0.35">
      <c r="B289" s="211" t="s">
        <v>292</v>
      </c>
      <c r="C289" s="212" t="s">
        <v>276</v>
      </c>
      <c r="D289" s="213">
        <v>11</v>
      </c>
      <c r="E289" s="236"/>
      <c r="F289" s="188">
        <f>D289*E289</f>
        <v>0</v>
      </c>
    </row>
    <row r="290" spans="2:7" x14ac:dyDescent="0.35">
      <c r="E290" s="226"/>
    </row>
    <row r="291" spans="2:7" x14ac:dyDescent="0.35">
      <c r="B291" s="102" t="s">
        <v>295</v>
      </c>
      <c r="C291" s="27"/>
      <c r="D291" s="41"/>
      <c r="E291" s="225"/>
      <c r="F291" s="42">
        <f>SUM(F239:F290)</f>
        <v>0</v>
      </c>
      <c r="G291" s="42">
        <f>SUM(G239:G290)</f>
        <v>0</v>
      </c>
    </row>
  </sheetData>
  <sheetProtection algorithmName="SHA-512" hashValue="SRZ0gKCmhv3HFDn3IC4jKt06pvC+Dc05MRz32HDU6gzZtmybZ3qmu1OTz511OcHJKuEOd37axaqpWUo0uSStHQ==" saltValue="8HqmTCoX0WzjC8JGlF/HvQ==" spinCount="100000" sheet="1" objects="1" scenarios="1"/>
  <mergeCells count="5">
    <mergeCell ref="A1:F1"/>
    <mergeCell ref="A2:F2"/>
    <mergeCell ref="A3:F3"/>
    <mergeCell ref="B25:F25"/>
    <mergeCell ref="B125:F126"/>
  </mergeCells>
  <pageMargins left="0.39370078740157483" right="0.19685039370078741" top="0.39370078740157483" bottom="0.39370078740157483" header="0.19685039370078741" footer="0.19685039370078741"/>
  <pageSetup paperSize="9" orientation="landscape" r:id="rId1"/>
  <headerFooter>
    <oddFooter>&amp;L&amp;"Arial CE,Ležeče"&amp;9&amp;F&amp;R&amp;"Arial CE,Ležeče"&amp;9Stran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BS311"/>
  <sheetViews>
    <sheetView showZeros="0" zoomScale="90" zoomScaleNormal="90" workbookViewId="0">
      <pane ySplit="7" topLeftCell="A8" activePane="bottomLeft" state="frozen"/>
      <selection pane="bottomLeft" activeCell="A8" sqref="A8"/>
    </sheetView>
  </sheetViews>
  <sheetFormatPr defaultColWidth="9.1796875" defaultRowHeight="14.5" x14ac:dyDescent="0.35"/>
  <cols>
    <col min="1" max="1" width="6.1796875" style="92" bestFit="1" customWidth="1"/>
    <col min="2" max="2" width="44.26953125" style="56" customWidth="1"/>
    <col min="3" max="3" width="8.81640625" style="56" bestFit="1" customWidth="1"/>
    <col min="4" max="4" width="8.453125" style="56" customWidth="1"/>
    <col min="5" max="5" width="7.54296875" style="56" bestFit="1" customWidth="1"/>
    <col min="6" max="6" width="10.81640625" style="56" customWidth="1"/>
    <col min="7" max="7" width="4.7265625" style="56" customWidth="1"/>
    <col min="8" max="8" width="9" style="72" customWidth="1"/>
    <col min="9" max="9" width="14.54296875" style="72" customWidth="1"/>
    <col min="10" max="10" width="10.26953125" style="72" customWidth="1"/>
    <col min="11" max="11" width="12.7265625" style="72" customWidth="1"/>
    <col min="12" max="14" width="12.1796875" style="72" customWidth="1"/>
    <col min="15" max="17" width="9.54296875" style="72" customWidth="1"/>
    <col min="18" max="18" width="12.1796875" style="72" customWidth="1"/>
    <col min="19" max="19" width="10.26953125" style="72" customWidth="1"/>
    <col min="20" max="20" width="4.7265625" style="56" customWidth="1"/>
    <col min="21" max="21" width="10.26953125" style="72" customWidth="1"/>
    <col min="22" max="22" width="11.7265625" style="72" customWidth="1"/>
    <col min="23" max="23" width="10.1796875" style="72" customWidth="1"/>
    <col min="24" max="24" width="10.26953125" style="72" customWidth="1"/>
    <col min="25" max="25" width="4.7265625" style="56" customWidth="1"/>
    <col min="26" max="28" width="10.7265625" style="72" customWidth="1"/>
    <col min="29" max="29" width="8.26953125" style="56" customWidth="1"/>
    <col min="30" max="30" width="11.1796875" style="56" customWidth="1"/>
    <col min="31" max="31" width="8.81640625" style="56" customWidth="1"/>
    <col min="32" max="33" width="9.81640625" style="56" customWidth="1"/>
    <col min="34" max="34" width="10.7265625" style="167" customWidth="1"/>
    <col min="35" max="35" width="4.7265625" style="56" customWidth="1"/>
    <col min="36" max="36" width="10.7265625" style="72" customWidth="1"/>
    <col min="37" max="38" width="9.26953125" style="72" customWidth="1"/>
    <col min="39" max="39" width="4.7265625" style="56" customWidth="1"/>
    <col min="40" max="40" width="9.81640625" style="72" customWidth="1"/>
    <col min="41" max="41" width="7.1796875" style="72" customWidth="1"/>
    <col min="42" max="42" width="12.7265625" style="72" customWidth="1"/>
    <col min="43" max="43" width="10.453125" style="72" customWidth="1"/>
    <col min="44" max="44" width="9.81640625" style="72" customWidth="1"/>
    <col min="45" max="45" width="12.26953125" style="72" customWidth="1"/>
    <col min="46" max="46" width="4.7265625" style="56" customWidth="1"/>
    <col min="47" max="47" width="15.1796875" style="72" customWidth="1"/>
    <col min="48" max="48" width="12.453125" style="72" customWidth="1"/>
    <col min="49" max="49" width="6.81640625" style="72" customWidth="1"/>
    <col min="50" max="50" width="7.7265625" style="72" customWidth="1"/>
    <col min="51" max="51" width="12" style="72" customWidth="1"/>
    <col min="52" max="52" width="4.7265625" style="72" customWidth="1"/>
    <col min="53" max="53" width="14.1796875" style="72" customWidth="1"/>
    <col min="54" max="55" width="9.26953125" style="72" customWidth="1"/>
    <col min="56" max="56" width="10.7265625" style="72" customWidth="1"/>
    <col min="57" max="57" width="9" style="72" customWidth="1"/>
    <col min="58" max="58" width="9.1796875" style="72" customWidth="1"/>
    <col min="59" max="59" width="4.7265625" style="56" customWidth="1"/>
    <col min="60" max="60" width="11" style="56" customWidth="1"/>
    <col min="61" max="61" width="9.7265625" style="56" customWidth="1"/>
    <col min="62" max="62" width="12.26953125" style="56" customWidth="1"/>
    <col min="63" max="63" width="9.1796875" style="56" customWidth="1"/>
    <col min="64" max="64" width="4.7265625" style="56" customWidth="1"/>
    <col min="65" max="65" width="12.1796875" style="56" customWidth="1"/>
    <col min="66" max="66" width="12.26953125" style="56" customWidth="1"/>
    <col min="67" max="67" width="9.54296875" style="56" customWidth="1"/>
    <col min="68" max="68" width="4.7265625" style="56" customWidth="1"/>
    <col min="69" max="69" width="11.26953125" style="56" customWidth="1"/>
    <col min="70" max="70" width="12" style="56" customWidth="1"/>
    <col min="71" max="16384" width="9.1796875" style="56"/>
  </cols>
  <sheetData>
    <row r="1" spans="1:71" s="83" customFormat="1" ht="43.5" x14ac:dyDescent="0.35">
      <c r="A1" s="252" t="str">
        <f>'Popis del_fasada'!A2:F2</f>
        <v xml:space="preserve">OBJEKT: VEČ STANOVANJSKA STAVBA, GERBIČEVA ULICA 47, LJUBLJANA </v>
      </c>
      <c r="B1" s="253"/>
      <c r="C1" s="52" t="s">
        <v>60</v>
      </c>
      <c r="D1" s="52" t="s">
        <v>43</v>
      </c>
      <c r="E1" s="52" t="s">
        <v>24</v>
      </c>
      <c r="F1" s="52" t="s">
        <v>126</v>
      </c>
      <c r="G1" s="76"/>
      <c r="H1" s="154"/>
      <c r="I1" s="161" t="str">
        <f>B12</f>
        <v>Demontaža senčil_150 cm</v>
      </c>
      <c r="J1" s="162" t="str">
        <f>B60</f>
        <v>Odbijanje špalet</v>
      </c>
      <c r="K1" s="162" t="s">
        <v>35</v>
      </c>
      <c r="L1" s="162" t="str">
        <f>B16</f>
        <v>Demontaža cevi</v>
      </c>
      <c r="M1" s="163" t="str">
        <f>B15</f>
        <v>Odstranitev XPS</v>
      </c>
      <c r="N1" s="163" t="str">
        <f>B17</f>
        <v>Demontaža Alu obrobe</v>
      </c>
      <c r="O1" s="163" t="str">
        <f>B70</f>
        <v>Steklene prizme</v>
      </c>
      <c r="P1" s="163" t="str">
        <f>B71</f>
        <v>Ograja terasa</v>
      </c>
      <c r="Q1" s="163" t="str">
        <f>B72</f>
        <v>Ograja vhod</v>
      </c>
      <c r="R1" s="163" t="str">
        <f>B74</f>
        <v>Nadstrešek_kritina</v>
      </c>
      <c r="S1" s="155" t="str">
        <f>B279</f>
        <v>Čiščenje</v>
      </c>
      <c r="T1" s="53"/>
      <c r="U1" s="52" t="s">
        <v>76</v>
      </c>
      <c r="V1" s="164" t="str">
        <f>B20</f>
        <v>Demontaža tlakovcev</v>
      </c>
      <c r="W1" s="164" t="s">
        <v>118</v>
      </c>
      <c r="X1" s="52" t="str">
        <f>B22</f>
        <v>Tampon</v>
      </c>
      <c r="Y1" s="53"/>
      <c r="Z1" s="165" t="str">
        <f>B26</f>
        <v>Priprava površin</v>
      </c>
      <c r="AA1" s="53" t="str">
        <f>B27</f>
        <v>Hidro izolacija</v>
      </c>
      <c r="AB1" s="53" t="str">
        <f>B87</f>
        <v>HI veranda_ terasa</v>
      </c>
      <c r="AC1" s="166" t="str">
        <f>B28</f>
        <v>Police_ granit</v>
      </c>
      <c r="AD1" s="166" t="str">
        <f>B98</f>
        <v>Sanacija kamnitega zidu</v>
      </c>
      <c r="AE1" s="166" t="str">
        <f>B82</f>
        <v>Sanacija betona</v>
      </c>
      <c r="AF1" s="52" t="str">
        <f>'Izračuni_pred izmere'!B96</f>
        <v>Zazidava</v>
      </c>
      <c r="AG1" s="52" t="str">
        <f>B285</f>
        <v>Servisni dostop</v>
      </c>
      <c r="AH1" s="52" t="str">
        <f>B282</f>
        <v>Izolacija podstrehe</v>
      </c>
      <c r="AI1" s="53"/>
      <c r="AJ1" s="52" t="s">
        <v>21</v>
      </c>
      <c r="AK1" s="164" t="str">
        <f>B102</f>
        <v>Lovilni oder</v>
      </c>
      <c r="AL1" s="52" t="str">
        <f>B103</f>
        <v>Delovni oder</v>
      </c>
      <c r="AM1" s="53"/>
      <c r="AN1" s="52" t="str">
        <f>B37</f>
        <v>EPS_ podzidek</v>
      </c>
      <c r="AO1" s="155" t="str">
        <f>B39</f>
        <v>EPS_ grafit</v>
      </c>
      <c r="AP1" s="52" t="str">
        <f>B42</f>
        <v>EPS_špalete</v>
      </c>
      <c r="AQ1" s="52" t="s">
        <v>102</v>
      </c>
      <c r="AR1" s="76" t="str">
        <f>B118</f>
        <v>Okrogel steber</v>
      </c>
      <c r="AS1" s="52"/>
      <c r="AT1" s="53"/>
      <c r="AU1" s="76" t="str">
        <f>B124</f>
        <v>Odtočni žleb_vertikalni</v>
      </c>
      <c r="AV1" s="76" t="str">
        <f>B125</f>
        <v>Nadstrešek_ kritina</v>
      </c>
      <c r="AW1" s="76" t="str">
        <f>B126</f>
        <v>H žleb</v>
      </c>
      <c r="AX1" s="76" t="str">
        <f>B127</f>
        <v>V cev</v>
      </c>
      <c r="AY1" s="52"/>
      <c r="AZ1" s="53"/>
      <c r="BA1" s="52" t="str">
        <f>B130</f>
        <v>Terasa I. nad. In VPT</v>
      </c>
      <c r="BB1" s="155" t="str">
        <f>B132</f>
        <v>NS obloga</v>
      </c>
      <c r="BC1" s="52" t="str">
        <f>B133</f>
        <v>Čelo plošče</v>
      </c>
      <c r="BD1" s="52" t="str">
        <f>B134</f>
        <v>Stopnišče</v>
      </c>
      <c r="BE1" s="76" t="str">
        <f>B135</f>
        <v>NS obloga_ stopnice</v>
      </c>
      <c r="BF1" s="52" t="str">
        <f>B136</f>
        <v>Stranska obloga stopnice</v>
      </c>
      <c r="BG1" s="53"/>
      <c r="BH1" s="52" t="str">
        <f>B139</f>
        <v>Revital nadstreški</v>
      </c>
      <c r="BI1" s="52" t="str">
        <f>B49</f>
        <v>Pleskanje opaža</v>
      </c>
      <c r="BJ1" s="52" t="str">
        <f>B142</f>
        <v>Kovinska konstrukcija</v>
      </c>
      <c r="BK1" s="52"/>
      <c r="BM1" s="52"/>
      <c r="BN1" s="155"/>
      <c r="BO1" s="52"/>
      <c r="BQ1" s="52" t="str">
        <f>B153</f>
        <v>Zračenje stropnikov</v>
      </c>
      <c r="BR1" s="52" t="str">
        <f>B151</f>
        <v>Kritina nadstreškov</v>
      </c>
      <c r="BS1" s="52"/>
    </row>
    <row r="2" spans="1:71" s="84" customFormat="1" ht="15" customHeight="1" x14ac:dyDescent="0.35">
      <c r="A2" s="136"/>
      <c r="B2" s="51"/>
      <c r="C2" s="53"/>
      <c r="D2" s="53"/>
      <c r="E2" s="53"/>
      <c r="F2" s="53"/>
      <c r="G2" s="53"/>
      <c r="H2" s="246" t="str">
        <f>'Popis del_fasada'!B27</f>
        <v>RUŠITVENA IN ODSTRANITVENA DELA</v>
      </c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6"/>
      <c r="T2" s="97"/>
      <c r="U2" s="254" t="str">
        <f>'Popis del_fasada'!B66</f>
        <v>ZEMELJSKA DELA</v>
      </c>
      <c r="V2" s="257"/>
      <c r="W2" s="257"/>
      <c r="X2" s="258"/>
      <c r="Y2" s="97"/>
      <c r="Z2" s="259" t="str">
        <f>'Popis del_fasada'!B85</f>
        <v>ZIDARSKA DELA</v>
      </c>
      <c r="AA2" s="260"/>
      <c r="AB2" s="260"/>
      <c r="AC2" s="260"/>
      <c r="AD2" s="260"/>
      <c r="AE2" s="260"/>
      <c r="AF2" s="260"/>
      <c r="AG2" s="260"/>
      <c r="AH2" s="261"/>
      <c r="AI2" s="144"/>
      <c r="AJ2" s="267" t="str">
        <f>'Popis del_fasada'!B111</f>
        <v>TESARSKA DELA</v>
      </c>
      <c r="AK2" s="265"/>
      <c r="AL2" s="266"/>
      <c r="AM2" s="53"/>
      <c r="AN2" s="254" t="str">
        <f>'Popis del_fasada'!B123</f>
        <v>FASADERSKA DELA</v>
      </c>
      <c r="AO2" s="255"/>
      <c r="AP2" s="255"/>
      <c r="AQ2" s="255"/>
      <c r="AR2" s="255"/>
      <c r="AS2" s="256"/>
      <c r="AT2" s="53"/>
      <c r="AU2" s="246" t="str">
        <f>'Popis del_fasada'!B141</f>
        <v>KLEPARSKA DELA</v>
      </c>
      <c r="AV2" s="247"/>
      <c r="AW2" s="247"/>
      <c r="AX2" s="247"/>
      <c r="AY2" s="248"/>
      <c r="AZ2" s="53"/>
      <c r="BA2" s="262" t="str">
        <f>'Popis del_fasada'!B153</f>
        <v>KERAMIČARSKA DELA</v>
      </c>
      <c r="BB2" s="263"/>
      <c r="BC2" s="263"/>
      <c r="BD2" s="263"/>
      <c r="BE2" s="263"/>
      <c r="BF2" s="264"/>
      <c r="BG2" s="97"/>
      <c r="BH2" s="249" t="str">
        <f>'Popis del_fasada'!B171</f>
        <v>SLIKOPLESKARSKA DELA</v>
      </c>
      <c r="BI2" s="250"/>
      <c r="BJ2" s="250"/>
      <c r="BK2" s="251"/>
      <c r="BM2" s="268" t="str">
        <f>'Popis del_fasada'!B186</f>
        <v>STAVBNO POHIŠTVO</v>
      </c>
      <c r="BN2" s="269"/>
      <c r="BO2" s="266"/>
      <c r="BQ2" s="243" t="str">
        <f>'Popis del_fasada'!B197</f>
        <v>RAZNA DELA</v>
      </c>
      <c r="BR2" s="244"/>
      <c r="BS2" s="245"/>
    </row>
    <row r="3" spans="1:71" s="84" customFormat="1" ht="15" customHeight="1" x14ac:dyDescent="0.35">
      <c r="A3" s="136"/>
      <c r="B3" s="69" t="s">
        <v>45</v>
      </c>
      <c r="C3" s="85"/>
      <c r="D3" s="53"/>
      <c r="E3" s="53"/>
      <c r="F3" s="53"/>
      <c r="G3" s="53"/>
      <c r="H3" s="90"/>
      <c r="I3" s="90"/>
      <c r="J3" s="74"/>
      <c r="K3" s="74"/>
      <c r="L3" s="74"/>
      <c r="M3" s="90"/>
      <c r="N3" s="74"/>
      <c r="O3" s="74"/>
      <c r="P3" s="74"/>
      <c r="Q3" s="74"/>
      <c r="R3" s="74"/>
      <c r="S3" s="74"/>
      <c r="T3" s="97"/>
      <c r="U3" s="90"/>
      <c r="V3" s="90"/>
      <c r="W3" s="90"/>
      <c r="X3" s="90"/>
      <c r="Y3" s="97"/>
      <c r="Z3" s="90"/>
      <c r="AA3" s="90"/>
      <c r="AB3" s="90"/>
      <c r="AC3" s="97"/>
      <c r="AD3" s="97"/>
      <c r="AE3" s="97"/>
      <c r="AF3" s="97"/>
      <c r="AG3" s="97"/>
      <c r="AI3" s="97"/>
      <c r="AJ3" s="90"/>
      <c r="AK3" s="90"/>
      <c r="AL3" s="90"/>
      <c r="AM3" s="53"/>
      <c r="AN3" s="90"/>
      <c r="AO3" s="74"/>
      <c r="AP3" s="74"/>
      <c r="AQ3" s="74"/>
      <c r="AR3" s="74"/>
      <c r="AS3" s="74"/>
      <c r="AT3" s="53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7"/>
      <c r="BM3" s="53"/>
      <c r="BN3" s="97"/>
      <c r="BO3" s="53"/>
    </row>
    <row r="4" spans="1:71" s="84" customFormat="1" ht="15" customHeight="1" x14ac:dyDescent="0.35">
      <c r="A4" s="136"/>
      <c r="B4" s="156" t="s">
        <v>54</v>
      </c>
      <c r="C4" s="157">
        <v>0.14000000000000001</v>
      </c>
      <c r="D4" s="53"/>
      <c r="E4" s="53"/>
      <c r="F4" s="53"/>
      <c r="G4" s="53"/>
      <c r="H4" s="90"/>
      <c r="I4" s="90"/>
      <c r="J4" s="74"/>
      <c r="K4" s="74"/>
      <c r="L4" s="74"/>
      <c r="M4" s="90"/>
      <c r="N4" s="74"/>
      <c r="O4" s="74"/>
      <c r="P4" s="74"/>
      <c r="Q4" s="74"/>
      <c r="R4" s="74"/>
      <c r="S4" s="74"/>
      <c r="T4" s="97"/>
      <c r="U4" s="90"/>
      <c r="V4" s="90"/>
      <c r="W4" s="90"/>
      <c r="X4" s="90"/>
      <c r="Y4" s="97"/>
      <c r="Z4" s="90"/>
      <c r="AA4" s="90"/>
      <c r="AB4" s="90"/>
      <c r="AC4" s="97"/>
      <c r="AD4" s="97"/>
      <c r="AE4" s="97"/>
      <c r="AF4" s="97"/>
      <c r="AG4" s="97"/>
      <c r="AI4" s="97"/>
      <c r="AJ4" s="90"/>
      <c r="AK4" s="90"/>
      <c r="AL4" s="90"/>
      <c r="AM4" s="53"/>
      <c r="AN4" s="90"/>
      <c r="AO4" s="74"/>
      <c r="AP4" s="74"/>
      <c r="AQ4" s="74"/>
      <c r="AR4" s="74"/>
      <c r="AS4" s="74"/>
      <c r="AT4" s="53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7"/>
      <c r="BM4" s="53"/>
      <c r="BN4" s="97"/>
      <c r="BO4" s="53"/>
    </row>
    <row r="5" spans="1:71" s="84" customFormat="1" ht="15" customHeight="1" x14ac:dyDescent="0.35">
      <c r="A5" s="136"/>
      <c r="B5" s="73" t="s">
        <v>58</v>
      </c>
      <c r="C5" s="86"/>
      <c r="D5" s="53"/>
      <c r="E5" s="53"/>
      <c r="F5" s="53"/>
      <c r="G5" s="53"/>
      <c r="H5" s="90"/>
      <c r="I5" s="90"/>
      <c r="J5" s="74"/>
      <c r="K5" s="74"/>
      <c r="L5" s="74"/>
      <c r="M5" s="90"/>
      <c r="N5" s="74"/>
      <c r="O5" s="74"/>
      <c r="P5" s="74"/>
      <c r="Q5" s="74"/>
      <c r="R5" s="74"/>
      <c r="S5" s="74"/>
      <c r="T5" s="97"/>
      <c r="U5" s="90"/>
      <c r="V5" s="90"/>
      <c r="W5" s="90"/>
      <c r="X5" s="90"/>
      <c r="Y5" s="97"/>
      <c r="Z5" s="90"/>
      <c r="AA5" s="90"/>
      <c r="AB5" s="90"/>
      <c r="AC5" s="97"/>
      <c r="AD5" s="97"/>
      <c r="AE5" s="97"/>
      <c r="AF5" s="97"/>
      <c r="AG5" s="97"/>
      <c r="AI5" s="97"/>
      <c r="AJ5" s="90"/>
      <c r="AK5" s="90"/>
      <c r="AL5" s="90"/>
      <c r="AM5" s="53"/>
      <c r="AN5" s="90"/>
      <c r="AO5" s="74"/>
      <c r="AP5" s="74"/>
      <c r="AQ5" s="74"/>
      <c r="AR5" s="74"/>
      <c r="AS5" s="74"/>
      <c r="AT5" s="53"/>
      <c r="AU5" s="90"/>
      <c r="AV5" s="90"/>
      <c r="AW5" s="90"/>
      <c r="AX5" s="90"/>
      <c r="AY5" s="90"/>
      <c r="AZ5" s="90"/>
      <c r="BA5" s="90"/>
      <c r="BB5" s="90"/>
      <c r="BC5" s="90"/>
      <c r="BD5" s="90"/>
      <c r="BE5" s="90"/>
      <c r="BF5" s="90"/>
      <c r="BG5" s="97"/>
      <c r="BM5" s="53"/>
      <c r="BN5" s="97"/>
      <c r="BO5" s="53"/>
    </row>
    <row r="6" spans="1:71" s="84" customFormat="1" ht="15" customHeight="1" x14ac:dyDescent="0.35">
      <c r="A6" s="136"/>
      <c r="B6" s="73" t="s">
        <v>66</v>
      </c>
      <c r="C6" s="86">
        <v>0.14000000000000001</v>
      </c>
      <c r="D6" s="53"/>
      <c r="E6" s="53">
        <f>0.15+0.14+0.05</f>
        <v>0.34</v>
      </c>
      <c r="F6" s="53"/>
      <c r="G6" s="53"/>
      <c r="H6" s="90"/>
      <c r="I6" s="90"/>
      <c r="J6" s="74"/>
      <c r="K6" s="74"/>
      <c r="L6" s="74"/>
      <c r="M6" s="90"/>
      <c r="N6" s="74"/>
      <c r="O6" s="74"/>
      <c r="P6" s="74"/>
      <c r="Q6" s="74"/>
      <c r="R6" s="74"/>
      <c r="S6" s="74"/>
      <c r="T6" s="97"/>
      <c r="U6" s="90"/>
      <c r="V6" s="90"/>
      <c r="W6" s="90"/>
      <c r="X6" s="90"/>
      <c r="Y6" s="97"/>
      <c r="Z6" s="90"/>
      <c r="AA6" s="90"/>
      <c r="AB6" s="90"/>
      <c r="AC6" s="97"/>
      <c r="AD6" s="97"/>
      <c r="AE6" s="97"/>
      <c r="AF6" s="97"/>
      <c r="AG6" s="97"/>
      <c r="AI6" s="97"/>
      <c r="AJ6" s="90"/>
      <c r="AK6" s="90"/>
      <c r="AL6" s="90"/>
      <c r="AM6" s="53"/>
      <c r="AN6" s="90"/>
      <c r="AO6" s="74"/>
      <c r="AP6" s="74"/>
      <c r="AQ6" s="74"/>
      <c r="AR6" s="74"/>
      <c r="AS6" s="74"/>
      <c r="AT6" s="53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7"/>
      <c r="BM6" s="53"/>
      <c r="BN6" s="97"/>
      <c r="BO6" s="53"/>
    </row>
    <row r="7" spans="1:71" s="84" customFormat="1" ht="15" customHeight="1" x14ac:dyDescent="0.35">
      <c r="A7" s="136"/>
      <c r="B7" s="73" t="s">
        <v>95</v>
      </c>
      <c r="C7" s="86">
        <v>1.05</v>
      </c>
      <c r="D7" s="53"/>
      <c r="E7" s="53"/>
      <c r="F7" s="53"/>
      <c r="G7" s="53"/>
      <c r="H7" s="90"/>
      <c r="I7" s="90"/>
      <c r="J7" s="74"/>
      <c r="K7" s="74"/>
      <c r="L7" s="74"/>
      <c r="M7" s="90"/>
      <c r="N7" s="74"/>
      <c r="O7" s="74"/>
      <c r="P7" s="74"/>
      <c r="Q7" s="74"/>
      <c r="R7" s="74"/>
      <c r="S7" s="74"/>
      <c r="T7" s="97"/>
      <c r="U7" s="90"/>
      <c r="V7" s="90"/>
      <c r="W7" s="90"/>
      <c r="X7" s="90"/>
      <c r="Y7" s="97"/>
      <c r="Z7" s="90"/>
      <c r="AA7" s="90"/>
      <c r="AB7" s="90"/>
      <c r="AC7" s="97"/>
      <c r="AD7" s="97"/>
      <c r="AE7" s="97"/>
      <c r="AF7" s="97"/>
      <c r="AG7" s="97"/>
      <c r="AI7" s="97"/>
      <c r="AJ7" s="90"/>
      <c r="AK7" s="90"/>
      <c r="AL7" s="90"/>
      <c r="AM7" s="53"/>
      <c r="AN7" s="90"/>
      <c r="AO7" s="74"/>
      <c r="AP7" s="74"/>
      <c r="AQ7" s="74"/>
      <c r="AR7" s="74"/>
      <c r="AS7" s="74"/>
      <c r="AT7" s="53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7"/>
      <c r="BM7" s="53"/>
      <c r="BN7" s="97"/>
      <c r="BO7" s="53"/>
    </row>
    <row r="8" spans="1:71" s="84" customFormat="1" ht="15" customHeight="1" x14ac:dyDescent="0.35">
      <c r="A8" s="136"/>
      <c r="B8" s="51"/>
      <c r="C8" s="53"/>
      <c r="D8" s="53"/>
      <c r="E8" s="53"/>
      <c r="F8" s="53"/>
      <c r="G8" s="53"/>
      <c r="H8" s="90"/>
      <c r="I8" s="90"/>
      <c r="J8" s="74"/>
      <c r="K8" s="74"/>
      <c r="L8" s="74"/>
      <c r="M8" s="90"/>
      <c r="N8" s="74"/>
      <c r="O8" s="74"/>
      <c r="P8" s="74"/>
      <c r="Q8" s="74"/>
      <c r="R8" s="74"/>
      <c r="S8" s="74"/>
      <c r="T8" s="97"/>
      <c r="U8" s="90"/>
      <c r="V8" s="90"/>
      <c r="W8" s="90"/>
      <c r="X8" s="90"/>
      <c r="Y8" s="97"/>
      <c r="Z8" s="90"/>
      <c r="AA8" s="90"/>
      <c r="AB8" s="90"/>
      <c r="AC8" s="97"/>
      <c r="AD8" s="97"/>
      <c r="AE8" s="97"/>
      <c r="AF8" s="97"/>
      <c r="AG8" s="97"/>
      <c r="AI8" s="97"/>
      <c r="AJ8" s="90"/>
      <c r="AK8" s="90"/>
      <c r="AL8" s="90"/>
      <c r="AM8" s="53"/>
      <c r="AN8" s="90"/>
      <c r="AO8" s="74"/>
      <c r="AP8" s="74"/>
      <c r="AQ8" s="74"/>
      <c r="AR8" s="74"/>
      <c r="AS8" s="74"/>
      <c r="AT8" s="53"/>
      <c r="AU8" s="90"/>
      <c r="AV8" s="90"/>
      <c r="AW8" s="90"/>
      <c r="AX8" s="90"/>
      <c r="AY8" s="90"/>
      <c r="AZ8" s="90"/>
      <c r="BA8" s="90"/>
      <c r="BB8" s="90"/>
      <c r="BC8" s="90"/>
      <c r="BD8" s="90"/>
      <c r="BE8" s="90"/>
      <c r="BF8" s="90"/>
      <c r="BG8" s="97"/>
      <c r="BM8" s="53"/>
      <c r="BN8" s="97"/>
      <c r="BO8" s="53"/>
    </row>
    <row r="9" spans="1:71" s="84" customFormat="1" ht="15" customHeight="1" x14ac:dyDescent="0.35">
      <c r="A9" s="92"/>
      <c r="B9" s="87" t="s">
        <v>34</v>
      </c>
      <c r="C9" s="85"/>
      <c r="D9" s="85"/>
      <c r="E9" s="71"/>
      <c r="F9" s="71"/>
      <c r="G9" s="69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56"/>
      <c r="U9" s="72"/>
      <c r="V9" s="72"/>
      <c r="W9" s="72"/>
      <c r="X9" s="72"/>
      <c r="Y9" s="69"/>
      <c r="Z9" s="72"/>
      <c r="AA9" s="72"/>
      <c r="AB9" s="72"/>
      <c r="AC9" s="69"/>
      <c r="AD9" s="69"/>
      <c r="AE9" s="69"/>
      <c r="AF9" s="69"/>
      <c r="AG9" s="69"/>
      <c r="AI9" s="69"/>
      <c r="AJ9" s="72"/>
      <c r="AK9" s="72"/>
      <c r="AL9" s="72"/>
      <c r="AM9" s="69"/>
      <c r="AN9" s="89"/>
      <c r="AO9" s="89"/>
      <c r="AP9" s="89"/>
      <c r="AQ9" s="89"/>
      <c r="AR9" s="89"/>
      <c r="AS9" s="89"/>
      <c r="AT9" s="85"/>
      <c r="AU9" s="85"/>
      <c r="AV9" s="85"/>
      <c r="AW9" s="85"/>
      <c r="AX9" s="85"/>
      <c r="AY9" s="85"/>
      <c r="AZ9" s="85"/>
      <c r="BA9" s="85"/>
      <c r="BB9" s="85"/>
      <c r="BC9" s="85"/>
      <c r="BD9" s="85"/>
      <c r="BE9" s="85"/>
      <c r="BF9" s="85"/>
      <c r="BG9" s="85"/>
      <c r="BM9" s="71"/>
      <c r="BN9" s="71"/>
      <c r="BO9" s="69"/>
    </row>
    <row r="10" spans="1:71" s="84" customFormat="1" ht="15" customHeight="1" x14ac:dyDescent="0.35">
      <c r="A10" s="92"/>
      <c r="B10" s="69"/>
      <c r="C10" s="85"/>
      <c r="D10" s="85"/>
      <c r="E10" s="71"/>
      <c r="F10" s="71"/>
      <c r="G10" s="69"/>
      <c r="H10" s="72"/>
      <c r="I10" s="72"/>
      <c r="J10" s="72"/>
      <c r="K10" s="72"/>
      <c r="L10" s="72"/>
      <c r="M10" s="72"/>
      <c r="N10" s="72"/>
      <c r="O10" s="72"/>
      <c r="P10" s="72"/>
      <c r="Q10" s="72"/>
      <c r="R10" s="72"/>
      <c r="S10" s="72"/>
      <c r="T10" s="56"/>
      <c r="U10" s="72"/>
      <c r="V10" s="72"/>
      <c r="W10" s="72"/>
      <c r="X10" s="72"/>
      <c r="Y10" s="69"/>
      <c r="Z10" s="72"/>
      <c r="AA10" s="72"/>
      <c r="AB10" s="72"/>
      <c r="AC10" s="69"/>
      <c r="AD10" s="69"/>
      <c r="AE10" s="69"/>
      <c r="AF10" s="69"/>
      <c r="AG10" s="69"/>
      <c r="AI10" s="69"/>
      <c r="AJ10" s="72"/>
      <c r="AK10" s="72"/>
      <c r="AL10" s="72"/>
      <c r="AM10" s="69"/>
      <c r="AN10" s="89"/>
      <c r="AO10" s="89"/>
      <c r="AP10" s="89"/>
      <c r="AQ10" s="89"/>
      <c r="AR10" s="89"/>
      <c r="AS10" s="89"/>
      <c r="AT10" s="85"/>
      <c r="AU10" s="85"/>
      <c r="AV10" s="85"/>
      <c r="AW10" s="85"/>
      <c r="AX10" s="85"/>
      <c r="AY10" s="85"/>
      <c r="AZ10" s="85"/>
      <c r="BA10" s="85"/>
      <c r="BB10" s="85"/>
      <c r="BC10" s="85"/>
      <c r="BD10" s="85"/>
      <c r="BE10" s="85"/>
      <c r="BF10" s="85"/>
      <c r="BG10" s="85"/>
      <c r="BM10" s="71"/>
      <c r="BN10" s="71"/>
      <c r="BO10" s="69"/>
    </row>
    <row r="11" spans="1:71" s="84" customFormat="1" ht="15" customHeight="1" x14ac:dyDescent="0.35">
      <c r="A11" s="92"/>
      <c r="B11" s="69" t="str">
        <f>'Popis del_fasada'!B27</f>
        <v>RUŠITVENA IN ODSTRANITVENA DELA</v>
      </c>
      <c r="C11" s="85"/>
      <c r="D11" s="85"/>
      <c r="E11" s="71"/>
      <c r="F11" s="71"/>
      <c r="G11" s="69"/>
      <c r="H11" s="72"/>
      <c r="I11" s="72"/>
      <c r="J11" s="72"/>
      <c r="K11" s="72"/>
      <c r="L11" s="72"/>
      <c r="M11" s="72"/>
      <c r="N11" s="72"/>
      <c r="O11" s="72"/>
      <c r="P11" s="72"/>
      <c r="Q11" s="72"/>
      <c r="R11" s="72"/>
      <c r="S11" s="72"/>
      <c r="T11" s="56"/>
      <c r="U11" s="72"/>
      <c r="V11" s="72"/>
      <c r="W11" s="72"/>
      <c r="X11" s="72"/>
      <c r="Y11" s="69"/>
      <c r="Z11" s="72"/>
      <c r="AA11" s="72"/>
      <c r="AB11" s="72"/>
      <c r="AC11" s="69"/>
      <c r="AD11" s="69"/>
      <c r="AE11" s="69"/>
      <c r="AF11" s="69"/>
      <c r="AG11" s="69"/>
      <c r="AI11" s="69"/>
      <c r="AJ11" s="72"/>
      <c r="AK11" s="72"/>
      <c r="AL11" s="72"/>
      <c r="AM11" s="69"/>
      <c r="AN11" s="89"/>
      <c r="AO11" s="89"/>
      <c r="AP11" s="89"/>
      <c r="AQ11" s="89"/>
      <c r="AR11" s="89"/>
      <c r="AS11" s="89"/>
      <c r="AT11" s="85"/>
      <c r="AU11" s="85"/>
      <c r="AV11" s="85"/>
      <c r="AW11" s="85"/>
      <c r="AX11" s="85"/>
      <c r="AY11" s="85"/>
      <c r="AZ11" s="85"/>
      <c r="BA11" s="85"/>
      <c r="BB11" s="85"/>
      <c r="BC11" s="85"/>
      <c r="BD11" s="85"/>
      <c r="BE11" s="85"/>
      <c r="BF11" s="85"/>
      <c r="BG11" s="85"/>
      <c r="BM11" s="71"/>
      <c r="BN11" s="71"/>
      <c r="BO11" s="69"/>
    </row>
    <row r="12" spans="1:71" s="84" customFormat="1" ht="15" customHeight="1" x14ac:dyDescent="0.35">
      <c r="A12" s="92" t="str">
        <f>'Popis del_fasada'!A31</f>
        <v>1</v>
      </c>
      <c r="B12" s="69" t="s">
        <v>152</v>
      </c>
      <c r="C12" s="85"/>
      <c r="D12" s="85"/>
      <c r="E12" s="71"/>
      <c r="F12" s="71"/>
      <c r="G12" s="69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56"/>
      <c r="U12" s="72"/>
      <c r="V12" s="72"/>
      <c r="W12" s="72"/>
      <c r="X12" s="72"/>
      <c r="Y12" s="69"/>
      <c r="Z12" s="72"/>
      <c r="AA12" s="72"/>
      <c r="AB12" s="72"/>
      <c r="AC12" s="69"/>
      <c r="AD12" s="69"/>
      <c r="AE12" s="69"/>
      <c r="AF12" s="69"/>
      <c r="AG12" s="69"/>
      <c r="AI12" s="69"/>
      <c r="AJ12" s="72"/>
      <c r="AK12" s="72"/>
      <c r="AL12" s="72"/>
      <c r="AM12" s="69"/>
      <c r="AN12" s="89"/>
      <c r="AO12" s="89"/>
      <c r="AP12" s="89"/>
      <c r="AQ12" s="89"/>
      <c r="AR12" s="89"/>
      <c r="AS12" s="89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M12" s="71"/>
      <c r="BN12" s="71"/>
      <c r="BO12" s="69"/>
    </row>
    <row r="13" spans="1:71" s="84" customFormat="1" ht="15" customHeight="1" x14ac:dyDescent="0.45">
      <c r="A13" s="92"/>
      <c r="B13" s="56" t="s">
        <v>218</v>
      </c>
      <c r="C13" s="72">
        <v>1.45</v>
      </c>
      <c r="D13" s="72">
        <v>1.3</v>
      </c>
      <c r="E13" s="56">
        <v>4</v>
      </c>
      <c r="G13" s="69"/>
      <c r="H13" s="72"/>
      <c r="I13" s="72">
        <f>E13</f>
        <v>4</v>
      </c>
      <c r="J13" s="72">
        <f>(C13+2*D13)*E13*$C$6</f>
        <v>2.2680000000000002</v>
      </c>
      <c r="K13" s="72">
        <f>C13*E13</f>
        <v>5.8</v>
      </c>
      <c r="L13" s="72"/>
      <c r="M13" s="72"/>
      <c r="N13" s="72"/>
      <c r="O13" s="72"/>
      <c r="P13" s="72"/>
      <c r="Q13" s="72"/>
      <c r="R13" s="72"/>
      <c r="S13" s="72"/>
      <c r="T13" s="56"/>
      <c r="U13" s="72"/>
      <c r="V13" s="72"/>
      <c r="W13" s="72"/>
      <c r="X13" s="72"/>
      <c r="Y13" s="69"/>
      <c r="Z13" s="72"/>
      <c r="AA13" s="72"/>
      <c r="AB13" s="72"/>
      <c r="AC13" s="69"/>
      <c r="AD13" s="69"/>
      <c r="AE13" s="69"/>
      <c r="AF13" s="69"/>
      <c r="AG13" s="69"/>
      <c r="AI13" s="69"/>
      <c r="AJ13" s="72"/>
      <c r="AK13" s="72"/>
      <c r="AL13" s="72"/>
      <c r="AM13" s="69"/>
      <c r="AN13" s="89"/>
      <c r="AO13" s="89"/>
      <c r="AP13" s="89"/>
      <c r="AQ13" s="89"/>
      <c r="AR13" s="89"/>
      <c r="AS13" s="89"/>
      <c r="AT13" s="85"/>
      <c r="AU13" s="85"/>
      <c r="AV13" s="85"/>
      <c r="AW13" s="85"/>
      <c r="AX13" s="85"/>
      <c r="AY13" s="85"/>
      <c r="AZ13" s="85"/>
      <c r="BA13" s="85"/>
      <c r="BB13" s="85"/>
      <c r="BC13" s="85"/>
      <c r="BD13" s="85"/>
      <c r="BE13" s="85"/>
      <c r="BF13" s="85"/>
      <c r="BG13" s="85"/>
      <c r="BM13" s="71"/>
      <c r="BN13" s="71"/>
      <c r="BO13" s="69"/>
    </row>
    <row r="14" spans="1:71" s="84" customFormat="1" ht="15" customHeight="1" x14ac:dyDescent="0.45">
      <c r="A14" s="92"/>
      <c r="B14" s="56" t="s">
        <v>219</v>
      </c>
      <c r="C14" s="72">
        <v>0.76</v>
      </c>
      <c r="D14" s="72">
        <v>0.8</v>
      </c>
      <c r="E14" s="56">
        <v>3</v>
      </c>
      <c r="G14" s="69"/>
      <c r="H14" s="72"/>
      <c r="I14" s="72"/>
      <c r="J14" s="72">
        <f>(C14+2*D14)*E14*$C$6</f>
        <v>0.99120000000000019</v>
      </c>
      <c r="K14" s="72">
        <f>C14*E14</f>
        <v>2.2800000000000002</v>
      </c>
      <c r="L14" s="72"/>
      <c r="M14" s="72"/>
      <c r="N14" s="72"/>
      <c r="O14" s="72"/>
      <c r="P14" s="72"/>
      <c r="Q14" s="72"/>
      <c r="R14" s="72"/>
      <c r="S14" s="72"/>
      <c r="T14" s="56"/>
      <c r="U14" s="72"/>
      <c r="V14" s="72"/>
      <c r="W14" s="72"/>
      <c r="X14" s="72"/>
      <c r="Y14" s="69"/>
      <c r="Z14" s="72"/>
      <c r="AA14" s="72"/>
      <c r="AB14" s="72"/>
      <c r="AC14" s="69"/>
      <c r="AD14" s="69"/>
      <c r="AE14" s="69"/>
      <c r="AF14" s="69"/>
      <c r="AG14" s="69"/>
      <c r="AI14" s="69"/>
      <c r="AJ14" s="72"/>
      <c r="AK14" s="72"/>
      <c r="AL14" s="72"/>
      <c r="AM14" s="69"/>
      <c r="AN14" s="89"/>
      <c r="AO14" s="89"/>
      <c r="AP14" s="89"/>
      <c r="AQ14" s="89"/>
      <c r="AR14" s="89"/>
      <c r="AS14" s="89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M14" s="71"/>
      <c r="BN14" s="71"/>
      <c r="BO14" s="69"/>
    </row>
    <row r="15" spans="1:71" s="84" customFormat="1" ht="15" customHeight="1" x14ac:dyDescent="0.35">
      <c r="A15" s="92" t="str">
        <f>'Popis del_fasada'!A40</f>
        <v>5</v>
      </c>
      <c r="B15" s="69" t="s">
        <v>147</v>
      </c>
      <c r="C15" s="72">
        <f>10.3</f>
        <v>10.3</v>
      </c>
      <c r="D15" s="72">
        <v>0.5</v>
      </c>
      <c r="E15" s="56"/>
      <c r="G15" s="69"/>
      <c r="H15" s="72"/>
      <c r="I15" s="72"/>
      <c r="J15" s="72"/>
      <c r="K15" s="72"/>
      <c r="L15" s="72"/>
      <c r="M15" s="72">
        <f>C15*D15</f>
        <v>5.15</v>
      </c>
      <c r="N15" s="72"/>
      <c r="O15" s="72"/>
      <c r="P15" s="72"/>
      <c r="Q15" s="72"/>
      <c r="R15" s="72"/>
      <c r="S15" s="72"/>
      <c r="T15" s="56"/>
      <c r="U15" s="72"/>
      <c r="V15" s="72"/>
      <c r="W15" s="72"/>
      <c r="X15" s="72"/>
      <c r="Y15" s="69"/>
      <c r="Z15" s="72"/>
      <c r="AA15" s="72"/>
      <c r="AB15" s="72"/>
      <c r="AC15" s="69"/>
      <c r="AD15" s="69"/>
      <c r="AE15" s="69"/>
      <c r="AF15" s="69"/>
      <c r="AG15" s="69"/>
      <c r="AI15" s="69"/>
      <c r="AJ15" s="72"/>
      <c r="AK15" s="72"/>
      <c r="AL15" s="72"/>
      <c r="AM15" s="69"/>
      <c r="AN15" s="89"/>
      <c r="AO15" s="89"/>
      <c r="AP15" s="89"/>
      <c r="AQ15" s="89"/>
      <c r="AR15" s="89"/>
      <c r="AS15" s="89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M15" s="71"/>
      <c r="BN15" s="71"/>
      <c r="BO15" s="69"/>
    </row>
    <row r="16" spans="1:71" s="84" customFormat="1" ht="15" customHeight="1" x14ac:dyDescent="0.35">
      <c r="A16" s="92">
        <f>'Popis del_fasada'!A46</f>
        <v>8</v>
      </c>
      <c r="B16" s="69" t="s">
        <v>140</v>
      </c>
      <c r="C16" s="72">
        <f>7.83+7.61+0.97+1.37</f>
        <v>17.78</v>
      </c>
      <c r="D16" s="72"/>
      <c r="E16" s="56"/>
      <c r="G16" s="69"/>
      <c r="H16" s="72"/>
      <c r="I16" s="72"/>
      <c r="J16" s="72"/>
      <c r="K16" s="72"/>
      <c r="L16" s="72">
        <f>C16</f>
        <v>17.78</v>
      </c>
      <c r="M16" s="72"/>
      <c r="N16" s="72"/>
      <c r="O16" s="72"/>
      <c r="P16" s="72"/>
      <c r="Q16" s="72"/>
      <c r="R16" s="72"/>
      <c r="S16" s="72"/>
      <c r="T16" s="56"/>
      <c r="U16" s="72"/>
      <c r="V16" s="72"/>
      <c r="W16" s="72"/>
      <c r="X16" s="72"/>
      <c r="Y16" s="69"/>
      <c r="Z16" s="72"/>
      <c r="AA16" s="72"/>
      <c r="AB16" s="72"/>
      <c r="AC16" s="69"/>
      <c r="AD16" s="69"/>
      <c r="AE16" s="69"/>
      <c r="AF16" s="69"/>
      <c r="AG16" s="69"/>
      <c r="AI16" s="69"/>
      <c r="AJ16" s="72"/>
      <c r="AK16" s="72"/>
      <c r="AL16" s="72"/>
      <c r="AM16" s="69"/>
      <c r="AN16" s="89"/>
      <c r="AO16" s="89"/>
      <c r="AP16" s="89"/>
      <c r="AQ16" s="89"/>
      <c r="AR16" s="89"/>
      <c r="AS16" s="89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M16" s="71"/>
      <c r="BN16" s="71"/>
      <c r="BO16" s="69"/>
    </row>
    <row r="17" spans="1:67" s="84" customFormat="1" ht="15" customHeight="1" x14ac:dyDescent="0.35">
      <c r="A17" s="92">
        <f>'Popis del_fasada'!A48</f>
        <v>9</v>
      </c>
      <c r="B17" s="69" t="s">
        <v>151</v>
      </c>
      <c r="C17" s="72">
        <f>0.5+10.3+0.5</f>
        <v>11.3</v>
      </c>
      <c r="D17" s="72"/>
      <c r="E17" s="56"/>
      <c r="G17" s="69"/>
      <c r="H17" s="72"/>
      <c r="I17" s="72"/>
      <c r="J17" s="72"/>
      <c r="K17" s="72"/>
      <c r="L17" s="72"/>
      <c r="M17" s="72"/>
      <c r="N17" s="72">
        <f>C17</f>
        <v>11.3</v>
      </c>
      <c r="O17" s="72"/>
      <c r="P17" s="72"/>
      <c r="Q17" s="72"/>
      <c r="R17" s="72"/>
      <c r="S17" s="72"/>
      <c r="T17" s="56"/>
      <c r="U17" s="72"/>
      <c r="V17" s="72"/>
      <c r="W17" s="72"/>
      <c r="X17" s="72"/>
      <c r="Y17" s="69"/>
      <c r="Z17" s="72"/>
      <c r="AA17" s="72"/>
      <c r="AB17" s="72"/>
      <c r="AC17" s="69"/>
      <c r="AD17" s="69"/>
      <c r="AE17" s="69"/>
      <c r="AF17" s="69"/>
      <c r="AG17" s="69"/>
      <c r="AI17" s="69"/>
      <c r="AJ17" s="72"/>
      <c r="AK17" s="72"/>
      <c r="AL17" s="72"/>
      <c r="AM17" s="69"/>
      <c r="AN17" s="89"/>
      <c r="AO17" s="89"/>
      <c r="AP17" s="89"/>
      <c r="AQ17" s="89"/>
      <c r="AR17" s="89"/>
      <c r="AS17" s="89"/>
      <c r="AT17" s="85"/>
      <c r="AU17" s="85"/>
      <c r="AV17" s="85"/>
      <c r="AW17" s="85"/>
      <c r="AX17" s="85"/>
      <c r="AY17" s="85"/>
      <c r="AZ17" s="85"/>
      <c r="BA17" s="85"/>
      <c r="BB17" s="85"/>
      <c r="BC17" s="85"/>
      <c r="BD17" s="85"/>
      <c r="BE17" s="85"/>
      <c r="BF17" s="85"/>
      <c r="BG17" s="85"/>
      <c r="BM17" s="71"/>
      <c r="BN17" s="71"/>
      <c r="BO17" s="69"/>
    </row>
    <row r="18" spans="1:67" s="84" customFormat="1" ht="15" customHeight="1" x14ac:dyDescent="0.35">
      <c r="A18" s="92"/>
      <c r="B18" s="56"/>
      <c r="C18" s="72"/>
      <c r="D18" s="72"/>
      <c r="E18" s="56"/>
      <c r="G18" s="69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56"/>
      <c r="U18" s="72"/>
      <c r="V18" s="72"/>
      <c r="W18" s="72"/>
      <c r="X18" s="72"/>
      <c r="Y18" s="69"/>
      <c r="Z18" s="72"/>
      <c r="AA18" s="72"/>
      <c r="AB18" s="72"/>
      <c r="AC18" s="69"/>
      <c r="AD18" s="69"/>
      <c r="AE18" s="69"/>
      <c r="AF18" s="69"/>
      <c r="AG18" s="69"/>
      <c r="AI18" s="69"/>
      <c r="AJ18" s="72"/>
      <c r="AK18" s="72"/>
      <c r="AL18" s="72"/>
      <c r="AM18" s="69"/>
      <c r="AN18" s="89"/>
      <c r="AO18" s="89"/>
      <c r="AP18" s="89"/>
      <c r="AQ18" s="89"/>
      <c r="AR18" s="89"/>
      <c r="AS18" s="89"/>
      <c r="AT18" s="85"/>
      <c r="AU18" s="85"/>
      <c r="AV18" s="85"/>
      <c r="AW18" s="85"/>
      <c r="AX18" s="85"/>
      <c r="AY18" s="85"/>
      <c r="AZ18" s="85"/>
      <c r="BA18" s="85"/>
      <c r="BB18" s="85"/>
      <c r="BC18" s="85"/>
      <c r="BD18" s="85"/>
      <c r="BE18" s="85"/>
      <c r="BF18" s="85"/>
      <c r="BG18" s="85"/>
      <c r="BM18" s="71"/>
      <c r="BN18" s="71"/>
      <c r="BO18" s="69"/>
    </row>
    <row r="19" spans="1:67" s="84" customFormat="1" ht="15" customHeight="1" x14ac:dyDescent="0.35">
      <c r="A19" s="92"/>
      <c r="B19" s="69" t="str">
        <f>'Popis del_fasada'!B66</f>
        <v>ZEMELJSKA DELA</v>
      </c>
      <c r="C19" s="56"/>
      <c r="D19" s="85"/>
      <c r="E19" s="56"/>
      <c r="F19" s="71"/>
      <c r="G19" s="69"/>
      <c r="H19" s="72"/>
      <c r="I19" s="72"/>
      <c r="J19" s="72"/>
      <c r="K19" s="72"/>
      <c r="L19" s="72"/>
      <c r="M19" s="72"/>
      <c r="N19" s="72"/>
      <c r="O19" s="72"/>
      <c r="P19" s="72"/>
      <c r="Q19" s="72"/>
      <c r="R19" s="72"/>
      <c r="S19" s="72"/>
      <c r="T19" s="56"/>
      <c r="U19" s="72"/>
      <c r="V19" s="72"/>
      <c r="W19" s="72"/>
      <c r="X19" s="72"/>
      <c r="Y19" s="69"/>
      <c r="Z19" s="72"/>
      <c r="AA19" s="72"/>
      <c r="AB19" s="72"/>
      <c r="AC19" s="69"/>
      <c r="AD19" s="69"/>
      <c r="AE19" s="69"/>
      <c r="AF19" s="69"/>
      <c r="AG19" s="69"/>
      <c r="AI19" s="69"/>
      <c r="AJ19" s="72"/>
      <c r="AK19" s="72"/>
      <c r="AL19" s="72"/>
      <c r="AM19" s="69"/>
      <c r="AN19" s="89"/>
      <c r="AO19" s="89"/>
      <c r="AP19" s="89"/>
      <c r="AQ19" s="89"/>
      <c r="AR19" s="89"/>
      <c r="AS19" s="89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M19" s="71"/>
      <c r="BN19" s="71"/>
      <c r="BO19" s="69"/>
    </row>
    <row r="20" spans="1:67" s="84" customFormat="1" ht="15" customHeight="1" x14ac:dyDescent="0.35">
      <c r="A20" s="92" t="str">
        <f>'Popis del_fasada'!A68</f>
        <v>1</v>
      </c>
      <c r="B20" s="69" t="s">
        <v>145</v>
      </c>
      <c r="C20" s="56">
        <f>10.3-4.2+0.8</f>
        <v>6.9</v>
      </c>
      <c r="D20" s="89">
        <v>0.8</v>
      </c>
      <c r="E20" s="56"/>
      <c r="F20" s="71"/>
      <c r="G20" s="69"/>
      <c r="H20" s="72"/>
      <c r="I20" s="72"/>
      <c r="J20" s="72"/>
      <c r="K20" s="72"/>
      <c r="L20" s="72"/>
      <c r="M20" s="72"/>
      <c r="N20" s="72"/>
      <c r="O20" s="72"/>
      <c r="P20" s="72"/>
      <c r="Q20" s="72"/>
      <c r="R20" s="72"/>
      <c r="S20" s="72"/>
      <c r="T20" s="56"/>
      <c r="U20" s="72"/>
      <c r="V20" s="72">
        <f>C20*D20</f>
        <v>5.5200000000000005</v>
      </c>
      <c r="W20" s="72">
        <f>C20*D20</f>
        <v>5.5200000000000005</v>
      </c>
      <c r="X20" s="72"/>
      <c r="Y20" s="69"/>
      <c r="Z20" s="72"/>
      <c r="AA20" s="72"/>
      <c r="AB20" s="72"/>
      <c r="AC20" s="69"/>
      <c r="AD20" s="69"/>
      <c r="AE20" s="69"/>
      <c r="AF20" s="69"/>
      <c r="AG20" s="69"/>
      <c r="AI20" s="69"/>
      <c r="AJ20" s="72"/>
      <c r="AK20" s="72"/>
      <c r="AL20" s="72"/>
      <c r="AM20" s="69"/>
      <c r="AN20" s="89"/>
      <c r="AO20" s="89"/>
      <c r="AP20" s="89"/>
      <c r="AQ20" s="89"/>
      <c r="AR20" s="89"/>
      <c r="AS20" s="89"/>
      <c r="AT20" s="85"/>
      <c r="AU20" s="85"/>
      <c r="AV20" s="85"/>
      <c r="AW20" s="85"/>
      <c r="AX20" s="85"/>
      <c r="AY20" s="85"/>
      <c r="AZ20" s="85"/>
      <c r="BA20" s="85"/>
      <c r="BB20" s="85"/>
      <c r="BC20" s="85"/>
      <c r="BD20" s="85"/>
      <c r="BE20" s="85"/>
      <c r="BF20" s="85"/>
      <c r="BG20" s="85"/>
      <c r="BM20" s="71"/>
      <c r="BN20" s="71"/>
      <c r="BO20" s="69"/>
    </row>
    <row r="21" spans="1:67" s="84" customFormat="1" ht="15" customHeight="1" x14ac:dyDescent="0.35">
      <c r="A21" s="92" t="str">
        <f>'Popis del_fasada'!A70</f>
        <v>2</v>
      </c>
      <c r="B21" s="69" t="s">
        <v>76</v>
      </c>
      <c r="C21" s="56">
        <f>0.5+10.3+0.5</f>
        <v>11.3</v>
      </c>
      <c r="D21" s="89">
        <v>0.5</v>
      </c>
      <c r="E21" s="56">
        <v>0.5</v>
      </c>
      <c r="F21" s="71"/>
      <c r="G21" s="69"/>
      <c r="H21" s="72"/>
      <c r="I21" s="72"/>
      <c r="J21" s="72"/>
      <c r="K21" s="72"/>
      <c r="L21" s="72"/>
      <c r="M21" s="72"/>
      <c r="N21" s="72"/>
      <c r="O21" s="72"/>
      <c r="P21" s="72"/>
      <c r="Q21" s="72"/>
      <c r="R21" s="72"/>
      <c r="S21" s="72"/>
      <c r="T21" s="56"/>
      <c r="U21" s="72">
        <f>C21*D21*E21</f>
        <v>2.8250000000000002</v>
      </c>
      <c r="V21" s="72"/>
      <c r="W21" s="72"/>
      <c r="X21" s="72"/>
      <c r="Y21" s="69"/>
      <c r="Z21" s="72"/>
      <c r="AA21" s="72"/>
      <c r="AB21" s="72"/>
      <c r="AC21" s="69"/>
      <c r="AD21" s="69"/>
      <c r="AE21" s="69"/>
      <c r="AF21" s="69"/>
      <c r="AG21" s="69"/>
      <c r="AI21" s="69"/>
      <c r="AJ21" s="72"/>
      <c r="AK21" s="72"/>
      <c r="AL21" s="72"/>
      <c r="AM21" s="69"/>
      <c r="AN21" s="89"/>
      <c r="AO21" s="89"/>
      <c r="AP21" s="89"/>
      <c r="AQ21" s="89"/>
      <c r="AR21" s="89"/>
      <c r="AS21" s="89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85"/>
      <c r="BG21" s="85"/>
      <c r="BM21" s="71"/>
      <c r="BN21" s="71"/>
      <c r="BO21" s="69"/>
    </row>
    <row r="22" spans="1:67" s="84" customFormat="1" ht="15" customHeight="1" x14ac:dyDescent="0.35">
      <c r="A22" s="92" t="str">
        <f>'Popis del_fasada'!A76</f>
        <v>5</v>
      </c>
      <c r="B22" s="69" t="s">
        <v>116</v>
      </c>
      <c r="C22" s="56">
        <f>0.5+10.3+0.5</f>
        <v>11.3</v>
      </c>
      <c r="D22" s="89">
        <f>0.4</f>
        <v>0.4</v>
      </c>
      <c r="E22" s="56">
        <v>0.5</v>
      </c>
      <c r="F22" s="71"/>
      <c r="G22" s="69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56"/>
      <c r="U22" s="72"/>
      <c r="V22" s="72"/>
      <c r="X22" s="72">
        <f>C22*D22*E22</f>
        <v>2.2600000000000002</v>
      </c>
      <c r="Y22" s="69"/>
      <c r="Z22" s="72"/>
      <c r="AA22" s="72"/>
      <c r="AB22" s="72"/>
      <c r="AC22" s="69"/>
      <c r="AD22" s="69"/>
      <c r="AE22" s="69"/>
      <c r="AF22" s="69"/>
      <c r="AG22" s="69"/>
      <c r="AI22" s="69"/>
      <c r="AJ22" s="72"/>
      <c r="AK22" s="72"/>
      <c r="AL22" s="72"/>
      <c r="AM22" s="69"/>
      <c r="AN22" s="89"/>
      <c r="AO22" s="89"/>
      <c r="AP22" s="89"/>
      <c r="AQ22" s="89"/>
      <c r="AR22" s="89"/>
      <c r="AS22" s="89"/>
      <c r="AT22" s="85"/>
      <c r="AU22" s="85"/>
      <c r="AV22" s="85"/>
      <c r="AW22" s="85"/>
      <c r="AX22" s="85"/>
      <c r="AY22" s="85"/>
      <c r="AZ22" s="85"/>
      <c r="BA22" s="85"/>
      <c r="BB22" s="85"/>
      <c r="BC22" s="85"/>
      <c r="BD22" s="85"/>
      <c r="BE22" s="85"/>
      <c r="BF22" s="85"/>
      <c r="BG22" s="85"/>
      <c r="BM22" s="71"/>
      <c r="BN22" s="71"/>
      <c r="BO22" s="69"/>
    </row>
    <row r="23" spans="1:67" s="84" customFormat="1" ht="15" customHeight="1" x14ac:dyDescent="0.35">
      <c r="A23" s="92"/>
      <c r="B23" s="56"/>
      <c r="C23" s="56"/>
      <c r="D23" s="85"/>
      <c r="E23" s="56"/>
      <c r="F23" s="71"/>
      <c r="G23" s="69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56"/>
      <c r="U23" s="72"/>
      <c r="V23" s="72"/>
      <c r="W23" s="72"/>
      <c r="X23" s="72"/>
      <c r="Y23" s="69"/>
      <c r="Z23" s="72"/>
      <c r="AA23" s="72"/>
      <c r="AB23" s="72"/>
      <c r="AC23" s="69"/>
      <c r="AD23" s="69"/>
      <c r="AE23" s="69"/>
      <c r="AF23" s="69"/>
      <c r="AG23" s="69"/>
      <c r="AI23" s="69"/>
      <c r="AJ23" s="72"/>
      <c r="AK23" s="72"/>
      <c r="AL23" s="72"/>
      <c r="AM23" s="69"/>
      <c r="AN23" s="89"/>
      <c r="AO23" s="89"/>
      <c r="AP23" s="89"/>
      <c r="AQ23" s="89"/>
      <c r="AR23" s="89"/>
      <c r="AS23" s="89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M23" s="71"/>
      <c r="BN23" s="71"/>
      <c r="BO23" s="69"/>
    </row>
    <row r="24" spans="1:67" s="84" customFormat="1" ht="15" customHeight="1" x14ac:dyDescent="0.35">
      <c r="A24" s="92"/>
      <c r="B24" s="56"/>
      <c r="C24" s="56"/>
      <c r="D24" s="85"/>
      <c r="E24" s="56"/>
      <c r="F24" s="71"/>
      <c r="G24" s="69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56"/>
      <c r="U24" s="72"/>
      <c r="V24" s="72"/>
      <c r="W24" s="72"/>
      <c r="X24" s="72"/>
      <c r="Y24" s="69"/>
      <c r="Z24" s="72"/>
      <c r="AA24" s="72"/>
      <c r="AB24" s="72"/>
      <c r="AC24" s="69"/>
      <c r="AD24" s="69"/>
      <c r="AE24" s="69"/>
      <c r="AF24" s="69"/>
      <c r="AG24" s="69"/>
      <c r="AI24" s="69"/>
      <c r="AJ24" s="72"/>
      <c r="AK24" s="72"/>
      <c r="AL24" s="72"/>
      <c r="AM24" s="69"/>
      <c r="AN24" s="89"/>
      <c r="AO24" s="89"/>
      <c r="AP24" s="89"/>
      <c r="AQ24" s="89"/>
      <c r="AR24" s="89"/>
      <c r="AS24" s="89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M24" s="71"/>
      <c r="BN24" s="71"/>
      <c r="BO24" s="69"/>
    </row>
    <row r="25" spans="1:67" s="84" customFormat="1" ht="15" customHeight="1" x14ac:dyDescent="0.35">
      <c r="A25" s="92"/>
      <c r="B25" s="70" t="str">
        <f>'Popis del_fasada'!B85</f>
        <v>ZIDARSKA DELA</v>
      </c>
      <c r="C25" s="56"/>
      <c r="D25" s="85"/>
      <c r="E25" s="56"/>
      <c r="F25" s="71"/>
      <c r="G25" s="69"/>
      <c r="H25" s="72"/>
      <c r="I25" s="72"/>
      <c r="J25" s="72"/>
      <c r="K25" s="72"/>
      <c r="L25" s="72"/>
      <c r="M25" s="72"/>
      <c r="N25" s="72"/>
      <c r="O25" s="72"/>
      <c r="P25" s="72"/>
      <c r="Q25" s="72"/>
      <c r="R25" s="72"/>
      <c r="S25" s="72"/>
      <c r="T25" s="56"/>
      <c r="U25" s="72"/>
      <c r="V25" s="72"/>
      <c r="W25" s="72"/>
      <c r="X25" s="72"/>
      <c r="Y25" s="69"/>
      <c r="Z25" s="72"/>
      <c r="AA25" s="72"/>
      <c r="AB25" s="72"/>
      <c r="AC25" s="69"/>
      <c r="AD25" s="69"/>
      <c r="AE25" s="69"/>
      <c r="AF25" s="69"/>
      <c r="AG25" s="69"/>
      <c r="AI25" s="69"/>
      <c r="AJ25" s="72"/>
      <c r="AK25" s="72"/>
      <c r="AL25" s="72"/>
      <c r="AM25" s="69"/>
      <c r="AN25" s="89"/>
      <c r="AO25" s="89"/>
      <c r="AP25" s="89"/>
      <c r="AQ25" s="89"/>
      <c r="AR25" s="89"/>
      <c r="AS25" s="89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M25" s="71"/>
      <c r="BN25" s="71"/>
      <c r="BO25" s="69"/>
    </row>
    <row r="26" spans="1:67" s="84" customFormat="1" ht="15" customHeight="1" x14ac:dyDescent="0.35">
      <c r="A26" s="92">
        <f>'Popis del_fasada'!A89</f>
        <v>2</v>
      </c>
      <c r="B26" s="69" t="s">
        <v>94</v>
      </c>
      <c r="C26" s="99">
        <v>10.28</v>
      </c>
      <c r="D26" s="99">
        <v>8.48</v>
      </c>
      <c r="E26" s="72"/>
      <c r="F26" s="72"/>
      <c r="G26" s="56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56"/>
      <c r="U26" s="72"/>
      <c r="V26" s="72"/>
      <c r="W26" s="72"/>
      <c r="X26" s="72"/>
      <c r="Y26" s="56"/>
      <c r="Z26" s="72">
        <f>C26*D26</f>
        <v>87.174400000000006</v>
      </c>
      <c r="AA26" s="72"/>
      <c r="AB26" s="72"/>
      <c r="AC26" s="56"/>
      <c r="AD26" s="56"/>
      <c r="AE26" s="56"/>
      <c r="AF26" s="56"/>
      <c r="AG26" s="56"/>
      <c r="AI26" s="56"/>
      <c r="AJ26" s="72"/>
      <c r="AK26" s="72"/>
      <c r="AL26" s="72"/>
      <c r="AM26" s="56"/>
      <c r="AN26" s="72"/>
      <c r="AO26" s="72"/>
      <c r="AP26" s="72"/>
      <c r="AQ26" s="72"/>
      <c r="AR26" s="72"/>
      <c r="AS26" s="72"/>
      <c r="AT26" s="72"/>
      <c r="AU26" s="72"/>
      <c r="AV26" s="72"/>
      <c r="AW26" s="72"/>
      <c r="AX26" s="72"/>
      <c r="AY26" s="72"/>
      <c r="AZ26" s="72"/>
      <c r="BA26" s="72"/>
      <c r="BB26" s="72"/>
      <c r="BC26" s="72"/>
      <c r="BD26" s="72"/>
      <c r="BE26" s="72"/>
      <c r="BF26" s="72"/>
      <c r="BG26" s="72"/>
      <c r="BH26" s="99"/>
      <c r="BI26" s="99"/>
      <c r="BJ26" s="99"/>
      <c r="BK26" s="99"/>
      <c r="BM26" s="72"/>
      <c r="BN26" s="72"/>
      <c r="BO26" s="56"/>
    </row>
    <row r="27" spans="1:67" s="84" customFormat="1" ht="15" customHeight="1" x14ac:dyDescent="0.35">
      <c r="A27" s="92">
        <f>'Popis del_fasada'!A91</f>
        <v>3</v>
      </c>
      <c r="B27" s="69" t="s">
        <v>104</v>
      </c>
      <c r="C27" s="99">
        <v>10.28</v>
      </c>
      <c r="D27" s="72">
        <v>0.6</v>
      </c>
      <c r="E27" s="72"/>
      <c r="F27" s="72"/>
      <c r="G27" s="56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56"/>
      <c r="U27" s="72"/>
      <c r="V27" s="72"/>
      <c r="W27" s="72"/>
      <c r="X27" s="72"/>
      <c r="Y27" s="56"/>
      <c r="Z27" s="72"/>
      <c r="AA27" s="72">
        <f>C27*D27</f>
        <v>6.1679999999999993</v>
      </c>
      <c r="AB27" s="72"/>
      <c r="AC27" s="56"/>
      <c r="AD27" s="56"/>
      <c r="AE27" s="56"/>
      <c r="AF27" s="56"/>
      <c r="AG27" s="56"/>
      <c r="AI27" s="56"/>
      <c r="AJ27" s="72"/>
      <c r="AK27" s="72"/>
      <c r="AL27" s="72"/>
      <c r="AM27" s="56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72"/>
      <c r="BE27" s="72"/>
      <c r="BF27" s="72"/>
      <c r="BG27" s="72"/>
      <c r="BH27" s="99"/>
      <c r="BI27" s="99"/>
      <c r="BJ27" s="99"/>
      <c r="BK27" s="99"/>
      <c r="BM27" s="72"/>
      <c r="BN27" s="72"/>
      <c r="BO27" s="56"/>
    </row>
    <row r="28" spans="1:67" s="84" customFormat="1" ht="15" customHeight="1" x14ac:dyDescent="0.35">
      <c r="A28" s="92">
        <f>'Popis del_fasada'!A95</f>
        <v>5</v>
      </c>
      <c r="B28" s="69" t="s">
        <v>108</v>
      </c>
      <c r="C28" s="72"/>
      <c r="D28" s="72"/>
      <c r="E28" s="72"/>
      <c r="F28" s="72"/>
      <c r="G28" s="56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56"/>
      <c r="U28" s="72"/>
      <c r="V28" s="72"/>
      <c r="W28" s="72"/>
      <c r="X28" s="72"/>
      <c r="Y28" s="56"/>
      <c r="Z28" s="72"/>
      <c r="AA28" s="72"/>
      <c r="AB28" s="72"/>
      <c r="AC28" s="56"/>
      <c r="AD28" s="56"/>
      <c r="AE28" s="56"/>
      <c r="AF28" s="56"/>
      <c r="AG28" s="56"/>
      <c r="AI28" s="56"/>
      <c r="AJ28" s="72"/>
      <c r="AK28" s="72"/>
      <c r="AL28" s="72"/>
      <c r="AM28" s="56"/>
      <c r="AN28" s="72"/>
      <c r="AO28" s="72"/>
      <c r="AP28" s="72"/>
      <c r="AQ28" s="72"/>
      <c r="AR28" s="72"/>
      <c r="AS28" s="72"/>
      <c r="AT28" s="72"/>
      <c r="AU28" s="72"/>
      <c r="AV28" s="72"/>
      <c r="AW28" s="72"/>
      <c r="AX28" s="72"/>
      <c r="AY28" s="72"/>
      <c r="AZ28" s="72"/>
      <c r="BA28" s="72"/>
      <c r="BB28" s="72"/>
      <c r="BC28" s="72"/>
      <c r="BD28" s="72"/>
      <c r="BE28" s="72"/>
      <c r="BF28" s="72"/>
      <c r="BG28" s="72"/>
      <c r="BH28" s="99"/>
      <c r="BI28" s="99"/>
      <c r="BJ28" s="99"/>
      <c r="BK28" s="99"/>
      <c r="BM28" s="72"/>
      <c r="BN28" s="72"/>
      <c r="BO28" s="56"/>
    </row>
    <row r="29" spans="1:67" s="84" customFormat="1" ht="15" customHeight="1" x14ac:dyDescent="0.45">
      <c r="A29" s="92"/>
      <c r="B29" s="56" t="s">
        <v>218</v>
      </c>
      <c r="C29" s="72">
        <v>1.45</v>
      </c>
      <c r="D29" s="72">
        <v>1.3</v>
      </c>
      <c r="E29" s="56">
        <v>4</v>
      </c>
      <c r="G29" s="56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56"/>
      <c r="U29" s="72"/>
      <c r="V29" s="72"/>
      <c r="W29" s="72"/>
      <c r="X29" s="72"/>
      <c r="Y29" s="56"/>
      <c r="Z29" s="72"/>
      <c r="AA29" s="72"/>
      <c r="AB29" s="72"/>
      <c r="AC29" s="56">
        <f>(0.05+C29+0.05)*E29</f>
        <v>6.2</v>
      </c>
      <c r="AD29" s="56"/>
      <c r="AE29" s="56"/>
      <c r="AF29" s="56"/>
      <c r="AG29" s="56"/>
      <c r="AI29" s="56"/>
      <c r="AJ29" s="72"/>
      <c r="AK29" s="72"/>
      <c r="AL29" s="72"/>
      <c r="AM29" s="56"/>
      <c r="AN29" s="72"/>
      <c r="AO29" s="72"/>
      <c r="AP29" s="72"/>
      <c r="AQ29" s="72"/>
      <c r="AR29" s="72"/>
      <c r="AS29" s="72"/>
      <c r="AT29" s="72"/>
      <c r="AU29" s="72"/>
      <c r="AV29" s="72"/>
      <c r="AW29" s="72"/>
      <c r="AX29" s="72"/>
      <c r="AY29" s="72"/>
      <c r="AZ29" s="72"/>
      <c r="BA29" s="72"/>
      <c r="BB29" s="72"/>
      <c r="BC29" s="72"/>
      <c r="BD29" s="72"/>
      <c r="BE29" s="72"/>
      <c r="BF29" s="72"/>
      <c r="BG29" s="72"/>
      <c r="BH29" s="99"/>
      <c r="BI29" s="99"/>
      <c r="BJ29" s="99"/>
      <c r="BK29" s="99"/>
      <c r="BM29" s="72"/>
      <c r="BN29" s="72"/>
      <c r="BO29" s="56"/>
    </row>
    <row r="30" spans="1:67" s="84" customFormat="1" ht="15" customHeight="1" x14ac:dyDescent="0.45">
      <c r="A30" s="92"/>
      <c r="B30" s="56" t="s">
        <v>219</v>
      </c>
      <c r="C30" s="72">
        <v>0.76</v>
      </c>
      <c r="D30" s="72">
        <v>0.8</v>
      </c>
      <c r="E30" s="56">
        <v>3</v>
      </c>
      <c r="F30" s="72"/>
      <c r="G30" s="56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56"/>
      <c r="U30" s="72"/>
      <c r="V30" s="72"/>
      <c r="W30" s="72"/>
      <c r="X30" s="72"/>
      <c r="Y30" s="56"/>
      <c r="Z30" s="72"/>
      <c r="AA30" s="72"/>
      <c r="AB30" s="72"/>
      <c r="AC30" s="56">
        <f>(0.05+C30+0.05)*E30</f>
        <v>2.58</v>
      </c>
      <c r="AD30" s="56"/>
      <c r="AE30" s="56"/>
      <c r="AF30" s="56"/>
      <c r="AG30" s="56"/>
      <c r="AI30" s="56"/>
      <c r="AJ30" s="72"/>
      <c r="AK30" s="72"/>
      <c r="AL30" s="72"/>
      <c r="AM30" s="56"/>
      <c r="AN30" s="72"/>
      <c r="AO30" s="72"/>
      <c r="AP30" s="72"/>
      <c r="AQ30" s="72"/>
      <c r="AR30" s="72"/>
      <c r="AS30" s="72"/>
      <c r="AT30" s="72"/>
      <c r="AU30" s="72"/>
      <c r="AV30" s="72"/>
      <c r="AW30" s="72"/>
      <c r="AX30" s="72"/>
      <c r="AY30" s="72"/>
      <c r="AZ30" s="72"/>
      <c r="BA30" s="72"/>
      <c r="BB30" s="72"/>
      <c r="BC30" s="72"/>
      <c r="BD30" s="72"/>
      <c r="BE30" s="72"/>
      <c r="BF30" s="72"/>
      <c r="BG30" s="72"/>
      <c r="BH30" s="99"/>
      <c r="BI30" s="99"/>
      <c r="BJ30" s="99"/>
      <c r="BK30" s="99"/>
      <c r="BM30" s="72"/>
      <c r="BN30" s="72"/>
      <c r="BO30" s="56"/>
    </row>
    <row r="31" spans="1:67" s="84" customFormat="1" ht="15" customHeight="1" x14ac:dyDescent="0.35">
      <c r="A31" s="92"/>
      <c r="B31" s="69"/>
      <c r="C31" s="72"/>
      <c r="D31" s="72"/>
      <c r="E31" s="72"/>
      <c r="F31" s="72"/>
      <c r="G31" s="56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56"/>
      <c r="U31" s="72"/>
      <c r="V31" s="72"/>
      <c r="W31" s="72"/>
      <c r="X31" s="72"/>
      <c r="Y31" s="56"/>
      <c r="Z31" s="72"/>
      <c r="AA31" s="72"/>
      <c r="AB31" s="72"/>
      <c r="AC31" s="56"/>
      <c r="AD31" s="56"/>
      <c r="AE31" s="56"/>
      <c r="AF31" s="56"/>
      <c r="AG31" s="56"/>
      <c r="AI31" s="56"/>
      <c r="AJ31" s="72"/>
      <c r="AK31" s="72"/>
      <c r="AL31" s="72"/>
      <c r="AM31" s="56"/>
      <c r="AN31" s="72"/>
      <c r="AO31" s="72"/>
      <c r="AP31" s="72"/>
      <c r="AQ31" s="72"/>
      <c r="AR31" s="72"/>
      <c r="AS31" s="72"/>
      <c r="AT31" s="72"/>
      <c r="AU31" s="72"/>
      <c r="AV31" s="72"/>
      <c r="AW31" s="72"/>
      <c r="AX31" s="72"/>
      <c r="AY31" s="72"/>
      <c r="AZ31" s="72"/>
      <c r="BA31" s="72"/>
      <c r="BB31" s="72"/>
      <c r="BC31" s="72"/>
      <c r="BD31" s="72"/>
      <c r="BE31" s="72"/>
      <c r="BF31" s="72"/>
      <c r="BG31" s="72"/>
      <c r="BH31" s="99"/>
      <c r="BI31" s="99"/>
      <c r="BJ31" s="99"/>
      <c r="BK31" s="99"/>
      <c r="BM31" s="72"/>
      <c r="BN31" s="72"/>
      <c r="BO31" s="56"/>
    </row>
    <row r="32" spans="1:67" s="84" customFormat="1" ht="15" customHeight="1" x14ac:dyDescent="0.35">
      <c r="A32" s="92"/>
      <c r="B32" s="69" t="str">
        <f>'Popis del_fasada'!B111</f>
        <v>TESARSKA DELA</v>
      </c>
      <c r="C32" s="72"/>
      <c r="D32" s="72"/>
      <c r="E32" s="72"/>
      <c r="F32" s="72"/>
      <c r="G32" s="56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56"/>
      <c r="U32" s="72"/>
      <c r="V32" s="72"/>
      <c r="W32" s="72"/>
      <c r="X32" s="72"/>
      <c r="Y32" s="56"/>
      <c r="Z32" s="72"/>
      <c r="AA32" s="72"/>
      <c r="AB32" s="72"/>
      <c r="AC32" s="56"/>
      <c r="AD32" s="56"/>
      <c r="AE32" s="56"/>
      <c r="AF32" s="56"/>
      <c r="AG32" s="56"/>
      <c r="AI32" s="56"/>
      <c r="AJ32" s="72"/>
      <c r="AK32" s="72"/>
      <c r="AL32" s="72"/>
      <c r="AM32" s="56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99"/>
      <c r="BI32" s="99"/>
      <c r="BJ32" s="99"/>
      <c r="BK32" s="99"/>
      <c r="BM32" s="72"/>
      <c r="BN32" s="72"/>
      <c r="BO32" s="56"/>
    </row>
    <row r="33" spans="1:67" s="84" customFormat="1" ht="15" customHeight="1" x14ac:dyDescent="0.35">
      <c r="A33" s="92" t="str">
        <f>'Popis del_fasada'!A113</f>
        <v>1</v>
      </c>
      <c r="B33" s="69" t="s">
        <v>21</v>
      </c>
      <c r="C33" s="72">
        <f>0.8+0.3+10.3+0.3+0.8</f>
        <v>12.500000000000002</v>
      </c>
      <c r="D33" s="72">
        <f>8.38-0.8</f>
        <v>7.580000000000001</v>
      </c>
      <c r="E33" s="72"/>
      <c r="F33" s="72"/>
      <c r="G33" s="56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56"/>
      <c r="U33" s="72"/>
      <c r="V33" s="72"/>
      <c r="W33" s="72"/>
      <c r="X33" s="72"/>
      <c r="Y33" s="56"/>
      <c r="Z33" s="72"/>
      <c r="AA33" s="72"/>
      <c r="AB33" s="72"/>
      <c r="AC33" s="56"/>
      <c r="AD33" s="56"/>
      <c r="AE33" s="56"/>
      <c r="AF33" s="56"/>
      <c r="AG33" s="56"/>
      <c r="AI33" s="56"/>
      <c r="AJ33" s="72">
        <f>C33*D33</f>
        <v>94.750000000000028</v>
      </c>
      <c r="AK33" s="72"/>
      <c r="AL33" s="72"/>
      <c r="AM33" s="56"/>
      <c r="AN33" s="72"/>
      <c r="AO33" s="72"/>
      <c r="AP33" s="72"/>
      <c r="AQ33" s="72"/>
      <c r="AR33" s="72"/>
      <c r="AS33" s="72"/>
      <c r="AT33" s="72"/>
      <c r="AU33" s="72"/>
      <c r="AV33" s="72"/>
      <c r="AW33" s="72"/>
      <c r="AX33" s="72"/>
      <c r="AY33" s="72"/>
      <c r="AZ33" s="72"/>
      <c r="BA33" s="72"/>
      <c r="BB33" s="72"/>
      <c r="BC33" s="72"/>
      <c r="BD33" s="72"/>
      <c r="BE33" s="72"/>
      <c r="BF33" s="72"/>
      <c r="BG33" s="72"/>
      <c r="BH33" s="99"/>
      <c r="BI33" s="99"/>
      <c r="BJ33" s="99"/>
      <c r="BK33" s="99"/>
      <c r="BM33" s="72"/>
      <c r="BN33" s="72"/>
      <c r="BO33" s="56"/>
    </row>
    <row r="34" spans="1:67" s="84" customFormat="1" ht="15" customHeight="1" x14ac:dyDescent="0.35">
      <c r="A34" s="92"/>
      <c r="C34" s="72"/>
      <c r="D34" s="72"/>
      <c r="E34" s="72"/>
      <c r="F34" s="72"/>
      <c r="G34" s="56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56"/>
      <c r="U34" s="72"/>
      <c r="V34" s="72"/>
      <c r="W34" s="72"/>
      <c r="X34" s="72"/>
      <c r="Y34" s="56"/>
      <c r="Z34" s="72"/>
      <c r="AA34" s="72"/>
      <c r="AB34" s="72"/>
      <c r="AC34" s="56"/>
      <c r="AD34" s="56"/>
      <c r="AE34" s="56"/>
      <c r="AF34" s="56"/>
      <c r="AG34" s="56"/>
      <c r="AI34" s="56"/>
      <c r="AJ34" s="72"/>
      <c r="AK34" s="72"/>
      <c r="AL34" s="72"/>
      <c r="AM34" s="56"/>
      <c r="AN34" s="72"/>
      <c r="AO34" s="72"/>
      <c r="AP34" s="72"/>
      <c r="AQ34" s="72"/>
      <c r="AR34" s="72"/>
      <c r="AS34" s="72"/>
      <c r="AT34" s="72"/>
      <c r="AU34" s="72"/>
      <c r="AV34" s="72"/>
      <c r="AW34" s="72"/>
      <c r="AX34" s="72"/>
      <c r="AY34" s="72"/>
      <c r="AZ34" s="72"/>
      <c r="BA34" s="72"/>
      <c r="BB34" s="72"/>
      <c r="BC34" s="72"/>
      <c r="BD34" s="72"/>
      <c r="BE34" s="72"/>
      <c r="BF34" s="72"/>
      <c r="BG34" s="72"/>
      <c r="BH34" s="99"/>
      <c r="BI34" s="99"/>
      <c r="BJ34" s="99"/>
      <c r="BK34" s="99"/>
      <c r="BM34" s="72"/>
      <c r="BN34" s="72"/>
      <c r="BO34" s="56"/>
    </row>
    <row r="35" spans="1:67" s="84" customFormat="1" ht="15" customHeight="1" x14ac:dyDescent="0.35">
      <c r="A35" s="92"/>
      <c r="B35" s="69" t="str">
        <f>'Popis del_fasada'!B123</f>
        <v>FASADERSKA DELA</v>
      </c>
      <c r="C35" s="72"/>
      <c r="D35" s="72"/>
      <c r="E35" s="72"/>
      <c r="F35" s="72"/>
      <c r="G35" s="56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56"/>
      <c r="U35" s="72"/>
      <c r="V35" s="72"/>
      <c r="W35" s="72"/>
      <c r="X35" s="72"/>
      <c r="Y35" s="56"/>
      <c r="Z35" s="72"/>
      <c r="AA35" s="72"/>
      <c r="AB35" s="72"/>
      <c r="AC35" s="56"/>
      <c r="AD35" s="56"/>
      <c r="AE35" s="56"/>
      <c r="AF35" s="56"/>
      <c r="AG35" s="56"/>
      <c r="AI35" s="56"/>
      <c r="AJ35" s="72"/>
      <c r="AK35" s="72"/>
      <c r="AL35" s="72"/>
      <c r="AM35" s="56"/>
      <c r="AN35" s="72"/>
      <c r="AO35" s="72"/>
      <c r="AP35" s="72"/>
      <c r="AQ35" s="72"/>
      <c r="AR35" s="72"/>
      <c r="AS35" s="72"/>
      <c r="AT35" s="72"/>
      <c r="AU35" s="72"/>
      <c r="AV35" s="72"/>
      <c r="AW35" s="72"/>
      <c r="AX35" s="72"/>
      <c r="AY35" s="72"/>
      <c r="AZ35" s="72"/>
      <c r="BA35" s="72"/>
      <c r="BB35" s="72"/>
      <c r="BC35" s="72"/>
      <c r="BD35" s="72"/>
      <c r="BE35" s="72"/>
      <c r="BF35" s="72"/>
      <c r="BG35" s="72"/>
      <c r="BH35" s="99"/>
      <c r="BI35" s="99"/>
      <c r="BJ35" s="99"/>
      <c r="BK35" s="99"/>
      <c r="BM35" s="72"/>
      <c r="BN35" s="72"/>
      <c r="BO35" s="56"/>
    </row>
    <row r="36" spans="1:67" s="84" customFormat="1" ht="15" customHeight="1" x14ac:dyDescent="0.35">
      <c r="A36" s="92"/>
      <c r="B36" s="69"/>
      <c r="C36" s="72"/>
      <c r="D36" s="72"/>
      <c r="E36" s="72"/>
      <c r="F36" s="72"/>
      <c r="G36" s="56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56"/>
      <c r="U36" s="72"/>
      <c r="V36" s="72"/>
      <c r="W36" s="72"/>
      <c r="X36" s="72"/>
      <c r="Y36" s="56"/>
      <c r="Z36" s="72"/>
      <c r="AA36" s="72"/>
      <c r="AB36" s="72"/>
      <c r="AC36" s="56"/>
      <c r="AD36" s="56"/>
      <c r="AE36" s="56"/>
      <c r="AF36" s="56"/>
      <c r="AG36" s="56"/>
      <c r="AI36" s="56"/>
      <c r="AJ36" s="72"/>
      <c r="AK36" s="72"/>
      <c r="AL36" s="72"/>
      <c r="AM36" s="56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99"/>
      <c r="BI36" s="99"/>
      <c r="BJ36" s="99"/>
      <c r="BK36" s="99"/>
      <c r="BM36" s="72"/>
      <c r="BN36" s="72"/>
      <c r="BO36" s="56"/>
    </row>
    <row r="37" spans="1:67" s="84" customFormat="1" ht="15" customHeight="1" x14ac:dyDescent="0.35">
      <c r="A37" s="92" t="str">
        <f>'Popis del_fasada'!A128</f>
        <v>1</v>
      </c>
      <c r="B37" s="69" t="s">
        <v>169</v>
      </c>
      <c r="C37" s="72">
        <v>10.3</v>
      </c>
      <c r="D37" s="72">
        <v>1</v>
      </c>
      <c r="E37" s="72"/>
      <c r="F37" s="72"/>
      <c r="G37" s="56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56"/>
      <c r="U37" s="72"/>
      <c r="V37" s="72"/>
      <c r="W37" s="72"/>
      <c r="X37" s="72"/>
      <c r="Y37" s="56"/>
      <c r="Z37" s="72"/>
      <c r="AA37" s="72"/>
      <c r="AB37" s="72"/>
      <c r="AC37" s="56"/>
      <c r="AD37" s="56"/>
      <c r="AE37" s="56"/>
      <c r="AF37" s="56"/>
      <c r="AG37" s="56"/>
      <c r="AI37" s="56"/>
      <c r="AJ37" s="72"/>
      <c r="AK37" s="72"/>
      <c r="AL37" s="72"/>
      <c r="AM37" s="56"/>
      <c r="AN37" s="72">
        <f>C37*D37</f>
        <v>10.3</v>
      </c>
      <c r="AO37" s="72"/>
      <c r="AP37" s="72"/>
      <c r="AQ37" s="72"/>
      <c r="AR37" s="72"/>
      <c r="AS37" s="72"/>
      <c r="AT37" s="72"/>
      <c r="AU37" s="72"/>
      <c r="AV37" s="72"/>
      <c r="AW37" s="72"/>
      <c r="AX37" s="72"/>
      <c r="AY37" s="72"/>
      <c r="AZ37" s="72"/>
      <c r="BA37" s="72"/>
      <c r="BB37" s="72"/>
      <c r="BC37" s="72"/>
      <c r="BD37" s="72"/>
      <c r="BE37" s="72"/>
      <c r="BF37" s="72"/>
      <c r="BG37" s="72"/>
      <c r="BH37" s="99"/>
      <c r="BI37" s="99"/>
      <c r="BJ37" s="99"/>
      <c r="BK37" s="99"/>
      <c r="BM37" s="72"/>
      <c r="BN37" s="72"/>
      <c r="BO37" s="56"/>
    </row>
    <row r="38" spans="1:67" s="84" customFormat="1" ht="15" customHeight="1" x14ac:dyDescent="0.35">
      <c r="A38" s="92"/>
      <c r="B38" s="69"/>
      <c r="C38" s="72"/>
      <c r="D38" s="72"/>
      <c r="E38" s="72"/>
      <c r="F38" s="72"/>
      <c r="G38" s="56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56"/>
      <c r="U38" s="72"/>
      <c r="V38" s="72"/>
      <c r="W38" s="72"/>
      <c r="X38" s="72"/>
      <c r="Y38" s="56"/>
      <c r="Z38" s="72"/>
      <c r="AA38" s="72"/>
      <c r="AB38" s="72"/>
      <c r="AC38" s="56"/>
      <c r="AD38" s="56"/>
      <c r="AE38" s="56"/>
      <c r="AF38" s="56"/>
      <c r="AG38" s="56"/>
      <c r="AI38" s="56"/>
      <c r="AJ38" s="72"/>
      <c r="AK38" s="72"/>
      <c r="AL38" s="72"/>
      <c r="AM38" s="56"/>
      <c r="AN38" s="72"/>
      <c r="AO38" s="72"/>
      <c r="AP38" s="72"/>
      <c r="AQ38" s="72"/>
      <c r="AR38" s="72"/>
      <c r="AS38" s="72"/>
      <c r="AT38" s="72"/>
      <c r="AU38" s="72"/>
      <c r="AV38" s="72"/>
      <c r="AW38" s="72"/>
      <c r="AX38" s="72"/>
      <c r="AY38" s="72"/>
      <c r="AZ38" s="72"/>
      <c r="BA38" s="72"/>
      <c r="BB38" s="72"/>
      <c r="BC38" s="72"/>
      <c r="BD38" s="72"/>
      <c r="BE38" s="72"/>
      <c r="BF38" s="72"/>
      <c r="BG38" s="72"/>
      <c r="BH38" s="99"/>
      <c r="BI38" s="99"/>
      <c r="BJ38" s="99"/>
      <c r="BK38" s="99"/>
      <c r="BM38" s="72"/>
      <c r="BN38" s="72"/>
      <c r="BO38" s="56"/>
    </row>
    <row r="39" spans="1:67" s="84" customFormat="1" ht="15" customHeight="1" x14ac:dyDescent="0.35">
      <c r="A39" s="92" t="str">
        <f>'Popis del_fasada'!A130</f>
        <v>2</v>
      </c>
      <c r="B39" s="69" t="s">
        <v>170</v>
      </c>
      <c r="C39" s="72"/>
      <c r="D39" s="72"/>
      <c r="E39" s="72"/>
      <c r="F39" s="72"/>
      <c r="G39" s="56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56"/>
      <c r="U39" s="72"/>
      <c r="V39" s="72"/>
      <c r="W39" s="72"/>
      <c r="X39" s="72"/>
      <c r="Y39" s="56"/>
      <c r="Z39" s="72"/>
      <c r="AA39" s="72"/>
      <c r="AB39" s="72"/>
      <c r="AC39" s="56"/>
      <c r="AD39" s="56"/>
      <c r="AE39" s="56"/>
      <c r="AF39" s="56"/>
      <c r="AG39" s="56"/>
      <c r="AI39" s="56"/>
      <c r="AJ39" s="72"/>
      <c r="AK39" s="72"/>
      <c r="AL39" s="72"/>
      <c r="AM39" s="56"/>
      <c r="AN39" s="72"/>
      <c r="AO39" s="72"/>
      <c r="AP39" s="72"/>
      <c r="AQ39" s="72"/>
      <c r="AR39" s="72"/>
      <c r="AS39" s="72"/>
      <c r="AT39" s="72"/>
      <c r="AU39" s="72"/>
      <c r="AV39" s="72"/>
      <c r="AW39" s="72"/>
      <c r="AX39" s="72"/>
      <c r="AY39" s="72"/>
      <c r="AZ39" s="72"/>
      <c r="BA39" s="72"/>
      <c r="BB39" s="72"/>
      <c r="BC39" s="72"/>
      <c r="BD39" s="72"/>
      <c r="BE39" s="72"/>
      <c r="BF39" s="72"/>
      <c r="BG39" s="72"/>
      <c r="BH39" s="99"/>
      <c r="BI39" s="99"/>
      <c r="BJ39" s="99"/>
      <c r="BK39" s="99"/>
      <c r="BM39" s="72"/>
      <c r="BN39" s="72"/>
      <c r="BO39" s="56"/>
    </row>
    <row r="40" spans="1:67" s="84" customFormat="1" ht="15" customHeight="1" x14ac:dyDescent="0.35">
      <c r="A40" s="92"/>
      <c r="B40" s="69" t="s">
        <v>148</v>
      </c>
      <c r="C40" s="72">
        <f>0.15+10.3+0.15</f>
        <v>10.600000000000001</v>
      </c>
      <c r="D40" s="72">
        <f>8.38-0.7</f>
        <v>7.6800000000000006</v>
      </c>
      <c r="E40" s="72"/>
      <c r="F40" s="72"/>
      <c r="G40" s="56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56"/>
      <c r="U40" s="72"/>
      <c r="V40" s="72"/>
      <c r="W40" s="72"/>
      <c r="X40" s="72"/>
      <c r="Y40" s="56"/>
      <c r="Z40" s="72"/>
      <c r="AA40" s="72"/>
      <c r="AB40" s="72"/>
      <c r="AC40" s="56"/>
      <c r="AD40" s="56"/>
      <c r="AE40" s="56"/>
      <c r="AF40" s="56"/>
      <c r="AG40" s="56"/>
      <c r="AI40" s="56"/>
      <c r="AJ40" s="72"/>
      <c r="AK40" s="72"/>
      <c r="AL40" s="72"/>
      <c r="AM40" s="56"/>
      <c r="AN40" s="72"/>
      <c r="AO40" s="72">
        <f>C40*D40</f>
        <v>81.408000000000015</v>
      </c>
      <c r="AP40" s="72"/>
      <c r="AQ40" s="72"/>
      <c r="AR40" s="72"/>
      <c r="AS40" s="72"/>
      <c r="AT40" s="72"/>
      <c r="AU40" s="72"/>
      <c r="AV40" s="72"/>
      <c r="AW40" s="72"/>
      <c r="AX40" s="72"/>
      <c r="AY40" s="72"/>
      <c r="AZ40" s="72"/>
      <c r="BA40" s="72"/>
      <c r="BB40" s="72"/>
      <c r="BC40" s="72"/>
      <c r="BD40" s="72"/>
      <c r="BE40" s="72"/>
      <c r="BF40" s="72"/>
      <c r="BG40" s="72"/>
      <c r="BH40" s="99"/>
      <c r="BI40" s="99"/>
      <c r="BJ40" s="99"/>
      <c r="BK40" s="99"/>
      <c r="BM40" s="72"/>
      <c r="BN40" s="72"/>
      <c r="BO40" s="56"/>
    </row>
    <row r="41" spans="1:67" s="84" customFormat="1" ht="15" customHeight="1" x14ac:dyDescent="0.35">
      <c r="A41" s="92"/>
      <c r="B41" s="69"/>
      <c r="D41" s="88"/>
      <c r="E41" s="88"/>
      <c r="F41" s="88"/>
      <c r="G41" s="56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56"/>
      <c r="U41" s="72"/>
      <c r="V41" s="72"/>
      <c r="W41" s="72"/>
      <c r="X41" s="72"/>
      <c r="Y41" s="56"/>
      <c r="Z41" s="72"/>
      <c r="AA41" s="72"/>
      <c r="AB41" s="72"/>
      <c r="AC41" s="56"/>
      <c r="AD41" s="56"/>
      <c r="AE41" s="56"/>
      <c r="AF41" s="56"/>
      <c r="AG41" s="56"/>
      <c r="AI41" s="56"/>
      <c r="AJ41" s="72"/>
      <c r="AK41" s="72"/>
      <c r="AL41" s="72"/>
      <c r="AM41" s="56"/>
      <c r="AN41" s="72"/>
      <c r="AO41" s="72"/>
      <c r="AP41" s="72"/>
      <c r="AQ41" s="72"/>
      <c r="AR41" s="72"/>
      <c r="AS41" s="72"/>
      <c r="AT41" s="72"/>
      <c r="AU41" s="72"/>
      <c r="AV41" s="72"/>
      <c r="AW41" s="72"/>
      <c r="AX41" s="72"/>
      <c r="AY41" s="72"/>
      <c r="AZ41" s="72"/>
      <c r="BA41" s="72"/>
      <c r="BB41" s="72"/>
      <c r="BC41" s="72"/>
      <c r="BD41" s="72"/>
      <c r="BE41" s="72"/>
      <c r="BF41" s="72"/>
      <c r="BG41" s="72"/>
      <c r="BH41" s="99"/>
      <c r="BI41" s="99"/>
      <c r="BJ41" s="99"/>
      <c r="BK41" s="99"/>
      <c r="BM41" s="72"/>
      <c r="BN41" s="72"/>
      <c r="BO41" s="56"/>
    </row>
    <row r="42" spans="1:67" s="84" customFormat="1" ht="15" customHeight="1" x14ac:dyDescent="0.35">
      <c r="A42" s="92" t="str">
        <f>'Popis del_fasada'!A132</f>
        <v>3</v>
      </c>
      <c r="B42" s="69" t="s">
        <v>98</v>
      </c>
      <c r="C42" s="72"/>
      <c r="D42" s="72"/>
      <c r="E42" s="88"/>
      <c r="F42" s="72"/>
      <c r="G42" s="56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56"/>
      <c r="U42" s="72"/>
      <c r="V42" s="72"/>
      <c r="W42" s="72"/>
      <c r="X42" s="72"/>
      <c r="Y42" s="56"/>
      <c r="Z42" s="72"/>
      <c r="AA42" s="72"/>
      <c r="AB42" s="72"/>
      <c r="AC42" s="56"/>
      <c r="AD42" s="56"/>
      <c r="AE42" s="56"/>
      <c r="AF42" s="56"/>
      <c r="AG42" s="56"/>
      <c r="AI42" s="56"/>
      <c r="AJ42" s="72"/>
      <c r="AK42" s="72"/>
      <c r="AL42" s="72"/>
      <c r="AM42" s="56"/>
      <c r="AN42" s="72"/>
      <c r="AO42" s="72"/>
      <c r="AP42" s="72"/>
      <c r="AQ42" s="72"/>
      <c r="AR42" s="72"/>
      <c r="AS42" s="72"/>
      <c r="AT42" s="72"/>
      <c r="AU42" s="72"/>
      <c r="AV42" s="72"/>
      <c r="AW42" s="72"/>
      <c r="AX42" s="72"/>
      <c r="AY42" s="72"/>
      <c r="AZ42" s="72"/>
      <c r="BA42" s="72"/>
      <c r="BB42" s="72"/>
      <c r="BC42" s="72"/>
      <c r="BD42" s="72"/>
      <c r="BE42" s="72"/>
      <c r="BF42" s="72"/>
      <c r="BG42" s="72"/>
      <c r="BH42" s="99"/>
      <c r="BI42" s="99"/>
      <c r="BJ42" s="99"/>
      <c r="BK42" s="99"/>
      <c r="BM42" s="72"/>
      <c r="BN42" s="72"/>
      <c r="BO42" s="56"/>
    </row>
    <row r="43" spans="1:67" s="84" customFormat="1" ht="15" customHeight="1" x14ac:dyDescent="0.45">
      <c r="A43" s="92"/>
      <c r="B43" s="56" t="s">
        <v>218</v>
      </c>
      <c r="C43" s="72">
        <v>1.45</v>
      </c>
      <c r="D43" s="72">
        <v>1.3</v>
      </c>
      <c r="E43" s="56">
        <v>4</v>
      </c>
      <c r="F43" s="72">
        <f>0.35-0.2</f>
        <v>0.14999999999999997</v>
      </c>
      <c r="G43" s="56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56"/>
      <c r="U43" s="72"/>
      <c r="V43" s="72"/>
      <c r="W43" s="72"/>
      <c r="X43" s="72"/>
      <c r="Y43" s="56"/>
      <c r="Z43" s="72"/>
      <c r="AA43" s="72"/>
      <c r="AB43" s="72"/>
      <c r="AD43" s="56"/>
      <c r="AE43" s="56"/>
      <c r="AF43" s="56"/>
      <c r="AG43" s="56"/>
      <c r="AI43" s="56"/>
      <c r="AJ43" s="72"/>
      <c r="AK43" s="72"/>
      <c r="AL43" s="72"/>
      <c r="AM43" s="56"/>
      <c r="AN43" s="72"/>
      <c r="AO43" s="89">
        <f>-C43*D43*E43</f>
        <v>-7.54</v>
      </c>
      <c r="AP43" s="72">
        <f>(C43+2*D43)*E43*F43</f>
        <v>2.4299999999999993</v>
      </c>
      <c r="AQ43" s="72"/>
      <c r="AR43" s="72"/>
      <c r="AS43" s="72"/>
      <c r="AT43" s="72"/>
      <c r="AU43" s="72"/>
      <c r="AV43" s="72"/>
      <c r="AW43" s="72"/>
      <c r="AX43" s="72"/>
      <c r="AY43" s="72"/>
      <c r="AZ43" s="72"/>
      <c r="BA43" s="72"/>
      <c r="BB43" s="72"/>
      <c r="BC43" s="72"/>
      <c r="BD43" s="72"/>
      <c r="BE43" s="72"/>
      <c r="BF43" s="72"/>
      <c r="BG43" s="56"/>
      <c r="BH43" s="99"/>
      <c r="BI43" s="99"/>
      <c r="BJ43" s="99"/>
      <c r="BK43" s="99"/>
      <c r="BM43" s="56"/>
      <c r="BN43" s="56"/>
      <c r="BO43" s="56"/>
    </row>
    <row r="44" spans="1:67" s="84" customFormat="1" ht="15" customHeight="1" x14ac:dyDescent="0.45">
      <c r="A44" s="92"/>
      <c r="B44" s="56" t="s">
        <v>219</v>
      </c>
      <c r="C44" s="72">
        <v>0.76</v>
      </c>
      <c r="D44" s="72">
        <v>0.8</v>
      </c>
      <c r="E44" s="56">
        <v>3</v>
      </c>
      <c r="F44" s="72">
        <f>0.35-0.2</f>
        <v>0.14999999999999997</v>
      </c>
      <c r="G44" s="56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56"/>
      <c r="U44" s="72"/>
      <c r="V44" s="72"/>
      <c r="W44" s="72"/>
      <c r="X44" s="72"/>
      <c r="Y44" s="56"/>
      <c r="Z44" s="72"/>
      <c r="AA44" s="72"/>
      <c r="AB44" s="72"/>
      <c r="AD44" s="56"/>
      <c r="AE44" s="56"/>
      <c r="AF44" s="56"/>
      <c r="AG44" s="56"/>
      <c r="AI44" s="56"/>
      <c r="AJ44" s="72"/>
      <c r="AK44" s="72"/>
      <c r="AL44" s="72"/>
      <c r="AM44" s="56"/>
      <c r="AN44" s="72"/>
      <c r="AO44" s="89"/>
      <c r="AP44" s="72">
        <f>(C44+2*D44)*E44*F44</f>
        <v>1.0619999999999998</v>
      </c>
      <c r="AQ44" s="72"/>
      <c r="AR44" s="72"/>
      <c r="AS44" s="72"/>
      <c r="AT44" s="72"/>
      <c r="AU44" s="72"/>
      <c r="AV44" s="72"/>
      <c r="AW44" s="72"/>
      <c r="AX44" s="72"/>
      <c r="AY44" s="72"/>
      <c r="AZ44" s="72"/>
      <c r="BA44" s="72"/>
      <c r="BB44" s="72"/>
      <c r="BC44" s="72"/>
      <c r="BD44" s="72"/>
      <c r="BE44" s="72"/>
      <c r="BF44" s="72"/>
      <c r="BG44" s="56"/>
      <c r="BH44" s="99"/>
      <c r="BI44" s="99"/>
      <c r="BJ44" s="99"/>
      <c r="BK44" s="99"/>
      <c r="BM44" s="56"/>
      <c r="BN44" s="56"/>
      <c r="BO44" s="56"/>
    </row>
    <row r="45" spans="1:67" s="84" customFormat="1" ht="15" customHeight="1" x14ac:dyDescent="0.35">
      <c r="A45" s="92"/>
      <c r="B45" s="56"/>
      <c r="C45" s="72"/>
      <c r="D45" s="72"/>
      <c r="E45" s="56"/>
      <c r="F45" s="72"/>
      <c r="G45" s="56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56"/>
      <c r="U45" s="72"/>
      <c r="V45" s="72"/>
      <c r="W45" s="72"/>
      <c r="X45" s="72"/>
      <c r="Y45" s="56"/>
      <c r="Z45" s="72"/>
      <c r="AA45" s="72"/>
      <c r="AB45" s="72"/>
      <c r="AD45" s="56"/>
      <c r="AE45" s="56"/>
      <c r="AF45" s="56"/>
      <c r="AG45" s="56"/>
      <c r="AI45" s="56"/>
      <c r="AJ45" s="72"/>
      <c r="AK45" s="72"/>
      <c r="AL45" s="72"/>
      <c r="AM45" s="56"/>
      <c r="AN45" s="72"/>
      <c r="AO45" s="89"/>
      <c r="AP45" s="72"/>
      <c r="AQ45" s="72"/>
      <c r="AR45" s="72"/>
      <c r="AS45" s="72"/>
      <c r="AT45" s="72"/>
      <c r="AU45" s="72"/>
      <c r="AV45" s="72"/>
      <c r="AW45" s="72"/>
      <c r="AX45" s="72"/>
      <c r="AY45" s="72"/>
      <c r="AZ45" s="72"/>
      <c r="BA45" s="72"/>
      <c r="BB45" s="72"/>
      <c r="BC45" s="72"/>
      <c r="BD45" s="72"/>
      <c r="BE45" s="72"/>
      <c r="BF45" s="72"/>
      <c r="BG45" s="56"/>
      <c r="BH45" s="99"/>
      <c r="BI45" s="99"/>
      <c r="BJ45" s="99"/>
      <c r="BK45" s="99"/>
      <c r="BM45" s="56"/>
      <c r="BN45" s="56"/>
      <c r="BO45" s="56"/>
    </row>
    <row r="46" spans="1:67" s="84" customFormat="1" ht="15" customHeight="1" x14ac:dyDescent="0.35">
      <c r="A46" s="92">
        <f>'Popis del_fasada'!A134</f>
        <v>4</v>
      </c>
      <c r="B46" s="69" t="s">
        <v>102</v>
      </c>
      <c r="C46" s="72">
        <f>0.15+10.3+0.15</f>
        <v>10.600000000000001</v>
      </c>
      <c r="D46" s="56">
        <f>D37+D40</f>
        <v>8.68</v>
      </c>
      <c r="E46" s="56"/>
      <c r="F46" s="56"/>
      <c r="G46" s="56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56"/>
      <c r="U46" s="72"/>
      <c r="V46" s="72"/>
      <c r="W46" s="72"/>
      <c r="X46" s="72"/>
      <c r="Y46" s="56"/>
      <c r="Z46" s="72"/>
      <c r="AA46" s="72"/>
      <c r="AB46" s="72"/>
      <c r="AD46" s="56"/>
      <c r="AE46" s="56"/>
      <c r="AF46" s="56"/>
      <c r="AG46" s="56"/>
      <c r="AI46" s="56"/>
      <c r="AJ46" s="72"/>
      <c r="AK46" s="72"/>
      <c r="AL46" s="72"/>
      <c r="AM46" s="56"/>
      <c r="AN46" s="72"/>
      <c r="AO46" s="72"/>
      <c r="AP46" s="72"/>
      <c r="AQ46" s="72">
        <f>C46*D46</f>
        <v>92.00800000000001</v>
      </c>
      <c r="AR46" s="72"/>
      <c r="AS46" s="72"/>
      <c r="AT46" s="72"/>
      <c r="AU46" s="72"/>
      <c r="AV46" s="72"/>
      <c r="AW46" s="72"/>
      <c r="AX46" s="72"/>
      <c r="AY46" s="72"/>
      <c r="AZ46" s="72"/>
      <c r="BA46" s="72"/>
      <c r="BB46" s="72"/>
      <c r="BC46" s="72"/>
      <c r="BD46" s="72"/>
      <c r="BE46" s="72"/>
      <c r="BF46" s="72"/>
      <c r="BG46" s="56"/>
      <c r="BH46" s="99"/>
      <c r="BI46" s="99"/>
      <c r="BJ46" s="99"/>
      <c r="BK46" s="99"/>
      <c r="BM46" s="56">
        <f>C46*E46</f>
        <v>0</v>
      </c>
      <c r="BN46" s="56"/>
      <c r="BO46" s="56"/>
    </row>
    <row r="47" spans="1:67" s="84" customFormat="1" ht="15" customHeight="1" x14ac:dyDescent="0.35">
      <c r="A47" s="92"/>
      <c r="B47" s="69"/>
      <c r="C47" s="72"/>
      <c r="D47" s="56"/>
      <c r="E47" s="56"/>
      <c r="F47" s="56"/>
      <c r="G47" s="56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56"/>
      <c r="U47" s="72"/>
      <c r="V47" s="72"/>
      <c r="W47" s="72"/>
      <c r="X47" s="72"/>
      <c r="Y47" s="56"/>
      <c r="Z47" s="72"/>
      <c r="AA47" s="72"/>
      <c r="AB47" s="72"/>
      <c r="AD47" s="56"/>
      <c r="AE47" s="56"/>
      <c r="AF47" s="56"/>
      <c r="AG47" s="56"/>
      <c r="AI47" s="56"/>
      <c r="AJ47" s="72"/>
      <c r="AK47" s="72"/>
      <c r="AL47" s="72"/>
      <c r="AM47" s="56"/>
      <c r="AN47" s="72"/>
      <c r="AO47" s="72"/>
      <c r="AP47" s="72"/>
      <c r="AQ47" s="72"/>
      <c r="AR47" s="72"/>
      <c r="AS47" s="72"/>
      <c r="AT47" s="72"/>
      <c r="AU47" s="72"/>
      <c r="AV47" s="72"/>
      <c r="AW47" s="72"/>
      <c r="AX47" s="72"/>
      <c r="AY47" s="72"/>
      <c r="AZ47" s="72"/>
      <c r="BA47" s="72"/>
      <c r="BB47" s="72"/>
      <c r="BC47" s="72"/>
      <c r="BD47" s="72"/>
      <c r="BE47" s="72"/>
      <c r="BF47" s="72"/>
      <c r="BG47" s="56"/>
      <c r="BH47" s="99"/>
      <c r="BI47" s="99"/>
      <c r="BJ47" s="99"/>
      <c r="BK47" s="99"/>
      <c r="BM47" s="56"/>
      <c r="BN47" s="56"/>
      <c r="BO47" s="56"/>
    </row>
    <row r="48" spans="1:67" s="84" customFormat="1" ht="15" customHeight="1" x14ac:dyDescent="0.35">
      <c r="A48" s="92"/>
      <c r="B48" s="69" t="str">
        <f>'Popis del_fasada'!B171</f>
        <v>SLIKOPLESKARSKA DELA</v>
      </c>
      <c r="C48" s="72"/>
      <c r="D48" s="56"/>
      <c r="E48" s="56"/>
      <c r="F48" s="56"/>
      <c r="G48" s="56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56"/>
      <c r="U48" s="72"/>
      <c r="V48" s="72"/>
      <c r="W48" s="72"/>
      <c r="X48" s="72"/>
      <c r="Y48" s="56"/>
      <c r="Z48" s="72"/>
      <c r="AA48" s="72"/>
      <c r="AB48" s="72"/>
      <c r="AD48" s="56"/>
      <c r="AE48" s="56"/>
      <c r="AF48" s="56"/>
      <c r="AG48" s="56"/>
      <c r="AI48" s="56"/>
      <c r="AJ48" s="72"/>
      <c r="AK48" s="72"/>
      <c r="AL48" s="72"/>
      <c r="AM48" s="56"/>
      <c r="AN48" s="72"/>
      <c r="AO48" s="72"/>
      <c r="AP48" s="72"/>
      <c r="AQ48" s="72"/>
      <c r="AR48" s="72"/>
      <c r="AS48" s="72"/>
      <c r="AT48" s="72"/>
      <c r="AU48" s="72"/>
      <c r="AV48" s="72"/>
      <c r="AW48" s="72"/>
      <c r="AX48" s="72"/>
      <c r="AY48" s="72"/>
      <c r="AZ48" s="72"/>
      <c r="BA48" s="72"/>
      <c r="BB48" s="72"/>
      <c r="BC48" s="72"/>
      <c r="BD48" s="72"/>
      <c r="BE48" s="72"/>
      <c r="BF48" s="72"/>
      <c r="BG48" s="56"/>
      <c r="BH48" s="99"/>
      <c r="BI48" s="99"/>
      <c r="BJ48" s="99"/>
      <c r="BK48" s="99"/>
      <c r="BM48" s="56"/>
      <c r="BN48" s="56"/>
      <c r="BO48" s="56"/>
    </row>
    <row r="49" spans="1:67" s="84" customFormat="1" ht="15" customHeight="1" x14ac:dyDescent="0.35">
      <c r="A49" s="92">
        <f>'Popis del_fasada'!A177</f>
        <v>3</v>
      </c>
      <c r="B49" s="69" t="s">
        <v>134</v>
      </c>
      <c r="C49" s="72">
        <v>11.5</v>
      </c>
      <c r="D49" s="56">
        <v>0.6</v>
      </c>
      <c r="E49" s="56"/>
      <c r="F49" s="56"/>
      <c r="G49" s="56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56"/>
      <c r="U49" s="72"/>
      <c r="V49" s="72"/>
      <c r="W49" s="72"/>
      <c r="X49" s="72"/>
      <c r="Y49" s="56"/>
      <c r="Z49" s="72"/>
      <c r="AA49" s="72"/>
      <c r="AB49" s="72"/>
      <c r="AD49" s="56"/>
      <c r="AE49" s="56"/>
      <c r="AF49" s="56"/>
      <c r="AG49" s="56"/>
      <c r="AI49" s="56"/>
      <c r="AJ49" s="72"/>
      <c r="AK49" s="72"/>
      <c r="AL49" s="72"/>
      <c r="AM49" s="56"/>
      <c r="AN49" s="72"/>
      <c r="AO49" s="72"/>
      <c r="AP49" s="72"/>
      <c r="AQ49" s="72"/>
      <c r="AR49" s="72"/>
      <c r="AS49" s="72"/>
      <c r="AT49" s="72"/>
      <c r="AU49" s="72"/>
      <c r="AV49" s="72"/>
      <c r="AW49" s="72"/>
      <c r="AX49" s="72"/>
      <c r="AY49" s="72"/>
      <c r="AZ49" s="72"/>
      <c r="BA49" s="72"/>
      <c r="BB49" s="72"/>
      <c r="BC49" s="72"/>
      <c r="BD49" s="72"/>
      <c r="BE49" s="72"/>
      <c r="BF49" s="72"/>
      <c r="BG49" s="56"/>
      <c r="BH49" s="99"/>
      <c r="BI49" s="99">
        <f>C49*D49</f>
        <v>6.8999999999999995</v>
      </c>
      <c r="BJ49" s="99"/>
      <c r="BK49" s="99"/>
      <c r="BM49" s="56"/>
      <c r="BN49" s="56"/>
      <c r="BO49" s="56"/>
    </row>
    <row r="50" spans="1:67" s="84" customFormat="1" ht="15" customHeight="1" x14ac:dyDescent="0.35">
      <c r="A50" s="92"/>
      <c r="B50" s="69"/>
      <c r="C50" s="56"/>
      <c r="D50" s="56"/>
      <c r="E50" s="56"/>
      <c r="F50" s="56"/>
      <c r="G50" s="56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56"/>
      <c r="U50" s="72"/>
      <c r="V50" s="72"/>
      <c r="W50" s="72"/>
      <c r="X50" s="72"/>
      <c r="Y50" s="56"/>
      <c r="Z50" s="72"/>
      <c r="AA50" s="72"/>
      <c r="AB50" s="72"/>
      <c r="AD50" s="56"/>
      <c r="AE50" s="56"/>
      <c r="AF50" s="56"/>
      <c r="AG50" s="56"/>
      <c r="AI50" s="56"/>
      <c r="AJ50" s="72"/>
      <c r="AK50" s="72"/>
      <c r="AL50" s="72"/>
      <c r="AM50" s="56"/>
      <c r="AN50" s="72"/>
      <c r="AO50" s="72"/>
      <c r="AP50" s="72"/>
      <c r="AQ50" s="72"/>
      <c r="AR50" s="72"/>
      <c r="AS50" s="72"/>
      <c r="AT50" s="72"/>
      <c r="AU50" s="72"/>
      <c r="AV50" s="72"/>
      <c r="AW50" s="72"/>
      <c r="AX50" s="72"/>
      <c r="AY50" s="72"/>
      <c r="AZ50" s="72"/>
      <c r="BA50" s="72"/>
      <c r="BB50" s="72"/>
      <c r="BC50" s="72"/>
      <c r="BD50" s="72"/>
      <c r="BE50" s="72"/>
      <c r="BF50" s="72"/>
      <c r="BG50" s="56"/>
      <c r="BH50" s="99"/>
      <c r="BI50" s="99"/>
      <c r="BJ50" s="99"/>
      <c r="BK50" s="99"/>
      <c r="BM50" s="56"/>
      <c r="BN50" s="56"/>
      <c r="BO50" s="56"/>
    </row>
    <row r="51" spans="1:67" s="84" customFormat="1" ht="15" customHeight="1" x14ac:dyDescent="0.35">
      <c r="A51" s="92"/>
      <c r="B51" s="69" t="str">
        <f>'Popis del_fasada'!B141</f>
        <v>KLEPARSKA DELA</v>
      </c>
      <c r="C51" s="56"/>
      <c r="D51" s="56"/>
      <c r="E51" s="56"/>
      <c r="F51" s="56"/>
      <c r="G51" s="56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56"/>
      <c r="U51" s="72"/>
      <c r="V51" s="72"/>
      <c r="W51" s="72"/>
      <c r="X51" s="72"/>
      <c r="Y51" s="56"/>
      <c r="Z51" s="72"/>
      <c r="AA51" s="72"/>
      <c r="AB51" s="72"/>
      <c r="AD51" s="56"/>
      <c r="AE51" s="56"/>
      <c r="AF51" s="56"/>
      <c r="AG51" s="56"/>
      <c r="AI51" s="56"/>
      <c r="AJ51" s="72"/>
      <c r="AK51" s="72"/>
      <c r="AL51" s="72"/>
      <c r="AM51" s="56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56"/>
      <c r="BH51" s="99"/>
      <c r="BI51" s="99"/>
      <c r="BJ51" s="99"/>
      <c r="BK51" s="99"/>
      <c r="BM51" s="56"/>
      <c r="BN51" s="56"/>
      <c r="BO51" s="56"/>
    </row>
    <row r="52" spans="1:67" s="84" customFormat="1" ht="15" customHeight="1" x14ac:dyDescent="0.35">
      <c r="A52" s="92">
        <f>'Popis del_fasada'!A143</f>
        <v>1</v>
      </c>
      <c r="B52" s="69" t="s">
        <v>141</v>
      </c>
      <c r="C52" s="72">
        <f>7.83+7.61+0.97+1.37</f>
        <v>17.78</v>
      </c>
      <c r="D52" s="56"/>
      <c r="E52" s="56"/>
      <c r="F52" s="56"/>
      <c r="G52" s="56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56"/>
      <c r="U52" s="72"/>
      <c r="V52" s="72"/>
      <c r="W52" s="72"/>
      <c r="X52" s="72"/>
      <c r="Y52" s="56"/>
      <c r="Z52" s="72"/>
      <c r="AA52" s="72"/>
      <c r="AB52" s="72"/>
      <c r="AD52" s="56"/>
      <c r="AE52" s="56"/>
      <c r="AF52" s="56"/>
      <c r="AG52" s="56"/>
      <c r="AI52" s="56"/>
      <c r="AJ52" s="72"/>
      <c r="AK52" s="72"/>
      <c r="AL52" s="72"/>
      <c r="AM52" s="56"/>
      <c r="AN52" s="72"/>
      <c r="AO52" s="72"/>
      <c r="AP52" s="72"/>
      <c r="AQ52" s="72"/>
      <c r="AR52" s="72"/>
      <c r="AS52" s="72"/>
      <c r="AT52" s="72"/>
      <c r="AU52" s="72">
        <f>C52</f>
        <v>17.78</v>
      </c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56"/>
      <c r="BH52" s="99"/>
      <c r="BI52" s="99"/>
      <c r="BJ52" s="99"/>
      <c r="BK52" s="99"/>
      <c r="BM52" s="56"/>
      <c r="BN52" s="56"/>
      <c r="BO52" s="56"/>
    </row>
    <row r="53" spans="1:67" s="84" customFormat="1" ht="15" customHeight="1" x14ac:dyDescent="0.35">
      <c r="A53" s="92"/>
      <c r="B53" s="69"/>
      <c r="C53" s="56"/>
      <c r="D53" s="56"/>
      <c r="E53" s="56"/>
      <c r="F53" s="56"/>
      <c r="G53" s="56"/>
      <c r="H53" s="72"/>
      <c r="I53" s="72"/>
      <c r="J53" s="72"/>
      <c r="K53" s="72"/>
      <c r="L53" s="72"/>
      <c r="M53" s="72"/>
      <c r="N53" s="72"/>
      <c r="O53" s="72"/>
      <c r="P53" s="72"/>
      <c r="Q53" s="72"/>
      <c r="R53" s="72"/>
      <c r="S53" s="72"/>
      <c r="T53" s="56"/>
      <c r="U53" s="72"/>
      <c r="V53" s="72"/>
      <c r="W53" s="72"/>
      <c r="X53" s="72"/>
      <c r="Y53" s="56"/>
      <c r="Z53" s="72"/>
      <c r="AA53" s="72"/>
      <c r="AB53" s="72"/>
      <c r="AC53" s="56"/>
      <c r="AD53" s="56"/>
      <c r="AE53" s="56"/>
      <c r="AF53" s="56"/>
      <c r="AG53" s="56"/>
      <c r="AI53" s="56"/>
      <c r="AJ53" s="72"/>
      <c r="AK53" s="72"/>
      <c r="AL53" s="72"/>
      <c r="AM53" s="56"/>
      <c r="AN53" s="72"/>
      <c r="AO53" s="72"/>
      <c r="AP53" s="72"/>
      <c r="AQ53" s="72"/>
      <c r="AR53" s="72"/>
      <c r="AS53" s="72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2"/>
      <c r="BE53" s="72"/>
      <c r="BF53" s="72"/>
      <c r="BG53" s="56"/>
      <c r="BH53" s="99"/>
      <c r="BI53" s="99"/>
      <c r="BJ53" s="99"/>
      <c r="BK53" s="99"/>
      <c r="BM53" s="56"/>
      <c r="BN53" s="56"/>
      <c r="BO53" s="56"/>
    </row>
    <row r="54" spans="1:67" s="84" customFormat="1" ht="15" customHeight="1" x14ac:dyDescent="0.35">
      <c r="A54" s="92"/>
      <c r="B54" s="87" t="s">
        <v>100</v>
      </c>
      <c r="C54" s="56"/>
      <c r="D54" s="56"/>
      <c r="E54" s="56"/>
      <c r="F54" s="56"/>
      <c r="G54" s="56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56"/>
      <c r="U54" s="72"/>
      <c r="V54" s="72"/>
      <c r="W54" s="72"/>
      <c r="X54" s="72"/>
      <c r="Y54" s="56"/>
      <c r="Z54" s="72"/>
      <c r="AA54" s="72"/>
      <c r="AB54" s="72"/>
      <c r="AC54" s="56"/>
      <c r="AD54" s="56"/>
      <c r="AE54" s="56"/>
      <c r="AF54" s="56"/>
      <c r="AG54" s="56"/>
      <c r="AI54" s="56"/>
      <c r="AJ54" s="72"/>
      <c r="AK54" s="72"/>
      <c r="AL54" s="72"/>
      <c r="AM54" s="56"/>
      <c r="AN54" s="72"/>
      <c r="AO54" s="72"/>
      <c r="AP54" s="72"/>
      <c r="AQ54" s="72"/>
      <c r="AR54" s="72"/>
      <c r="AS54" s="72"/>
      <c r="AT54" s="72"/>
      <c r="AU54" s="72"/>
      <c r="AV54" s="72"/>
      <c r="AW54" s="72"/>
      <c r="AX54" s="72"/>
      <c r="AY54" s="72"/>
      <c r="AZ54" s="72"/>
      <c r="BA54" s="72"/>
      <c r="BB54" s="72"/>
      <c r="BC54" s="72"/>
      <c r="BD54" s="72"/>
      <c r="BE54" s="72"/>
      <c r="BF54" s="72"/>
      <c r="BG54" s="72"/>
      <c r="BH54" s="99"/>
      <c r="BI54" s="99"/>
      <c r="BJ54" s="99"/>
      <c r="BK54" s="99"/>
      <c r="BM54" s="56"/>
      <c r="BN54" s="56"/>
      <c r="BO54" s="56"/>
    </row>
    <row r="55" spans="1:67" s="84" customFormat="1" ht="15" customHeight="1" x14ac:dyDescent="0.35">
      <c r="A55" s="92"/>
      <c r="B55" s="69"/>
      <c r="C55" s="56"/>
      <c r="D55" s="56"/>
      <c r="E55" s="56"/>
      <c r="F55" s="56"/>
      <c r="G55" s="56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56"/>
      <c r="U55" s="72"/>
      <c r="V55" s="72"/>
      <c r="W55" s="72"/>
      <c r="X55" s="72"/>
      <c r="Y55" s="56"/>
      <c r="Z55" s="72"/>
      <c r="AA55" s="72"/>
      <c r="AB55" s="72"/>
      <c r="AC55" s="56"/>
      <c r="AD55" s="56"/>
      <c r="AE55" s="56"/>
      <c r="AF55" s="56"/>
      <c r="AG55" s="56"/>
      <c r="AI55" s="56"/>
      <c r="AJ55" s="72"/>
      <c r="AK55" s="72"/>
      <c r="AL55" s="72"/>
      <c r="AM55" s="56"/>
      <c r="AN55" s="72"/>
      <c r="AO55" s="72"/>
      <c r="AP55" s="72"/>
      <c r="AQ55" s="72"/>
      <c r="AR55" s="72"/>
      <c r="AS55" s="72"/>
      <c r="AT55" s="72"/>
      <c r="AU55" s="72"/>
      <c r="AV55" s="72"/>
      <c r="AW55" s="72"/>
      <c r="AX55" s="72"/>
      <c r="AY55" s="72"/>
      <c r="AZ55" s="72"/>
      <c r="BA55" s="72"/>
      <c r="BB55" s="72"/>
      <c r="BC55" s="72"/>
      <c r="BD55" s="72"/>
      <c r="BE55" s="72"/>
      <c r="BF55" s="72"/>
      <c r="BG55" s="72"/>
      <c r="BH55" s="99"/>
      <c r="BI55" s="99"/>
      <c r="BJ55" s="99"/>
      <c r="BK55" s="99"/>
      <c r="BM55" s="56"/>
      <c r="BN55" s="56"/>
      <c r="BO55" s="56"/>
    </row>
    <row r="56" spans="1:67" s="84" customFormat="1" ht="15" customHeight="1" x14ac:dyDescent="0.35">
      <c r="A56" s="92"/>
      <c r="B56" s="69" t="str">
        <f>'Popis del_fasada'!B27</f>
        <v>RUŠITVENA IN ODSTRANITVENA DELA</v>
      </c>
      <c r="C56" s="56"/>
      <c r="D56" s="56"/>
      <c r="E56" s="56"/>
      <c r="F56" s="56"/>
      <c r="G56" s="56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56"/>
      <c r="U56" s="72"/>
      <c r="V56" s="72"/>
      <c r="W56" s="72"/>
      <c r="X56" s="72"/>
      <c r="Y56" s="56"/>
      <c r="Z56" s="72"/>
      <c r="AA56" s="72"/>
      <c r="AB56" s="72"/>
      <c r="AC56" s="56"/>
      <c r="AD56" s="56"/>
      <c r="AE56" s="56"/>
      <c r="AF56" s="56"/>
      <c r="AG56" s="56"/>
      <c r="AI56" s="56"/>
      <c r="AJ56" s="72"/>
      <c r="AK56" s="72"/>
      <c r="AL56" s="72"/>
      <c r="AM56" s="56"/>
      <c r="AN56" s="72"/>
      <c r="AO56" s="72"/>
      <c r="AP56" s="72"/>
      <c r="AQ56" s="72"/>
      <c r="AR56" s="72"/>
      <c r="AS56" s="72"/>
      <c r="AT56" s="72"/>
      <c r="AU56" s="72"/>
      <c r="AV56" s="72"/>
      <c r="AW56" s="72"/>
      <c r="AX56" s="72"/>
      <c r="AY56" s="72"/>
      <c r="AZ56" s="72"/>
      <c r="BA56" s="72"/>
      <c r="BB56" s="72"/>
      <c r="BC56" s="72"/>
      <c r="BD56" s="72"/>
      <c r="BE56" s="72"/>
      <c r="BF56" s="72"/>
      <c r="BG56" s="56"/>
      <c r="BH56" s="99"/>
      <c r="BI56" s="99"/>
      <c r="BJ56" s="99"/>
      <c r="BK56" s="99"/>
      <c r="BM56" s="56"/>
      <c r="BN56" s="56"/>
      <c r="BO56" s="56"/>
    </row>
    <row r="57" spans="1:67" s="84" customFormat="1" ht="15" customHeight="1" x14ac:dyDescent="0.35">
      <c r="A57" s="92" t="str">
        <f>'Popis del_fasada'!A31</f>
        <v>1</v>
      </c>
      <c r="B57" s="69" t="s">
        <v>152</v>
      </c>
      <c r="C57" s="72"/>
      <c r="D57" s="72"/>
      <c r="E57" s="56"/>
      <c r="F57" s="56"/>
      <c r="G57" s="56"/>
      <c r="H57" s="72"/>
      <c r="I57" s="72"/>
      <c r="J57" s="72"/>
      <c r="K57" s="72"/>
      <c r="L57" s="72"/>
      <c r="M57" s="72"/>
      <c r="N57" s="72"/>
      <c r="O57" s="72"/>
      <c r="P57" s="72"/>
      <c r="Q57" s="72"/>
      <c r="R57" s="72"/>
      <c r="S57" s="72"/>
      <c r="T57" s="56"/>
      <c r="U57" s="72"/>
      <c r="V57" s="72"/>
      <c r="W57" s="72"/>
      <c r="X57" s="72"/>
      <c r="Y57" s="56"/>
      <c r="Z57" s="72"/>
      <c r="AA57" s="72"/>
      <c r="AB57" s="72"/>
      <c r="AC57" s="56"/>
      <c r="AD57" s="56"/>
      <c r="AE57" s="56"/>
      <c r="AF57" s="56"/>
      <c r="AG57" s="56"/>
      <c r="AI57" s="56"/>
      <c r="AJ57" s="72"/>
      <c r="AK57" s="72"/>
      <c r="AL57" s="72"/>
      <c r="AM57" s="56"/>
      <c r="AN57" s="72"/>
      <c r="AO57" s="72"/>
      <c r="AP57" s="72"/>
      <c r="AQ57" s="72"/>
      <c r="AR57" s="72"/>
      <c r="AS57" s="72"/>
      <c r="AT57" s="72"/>
      <c r="AU57" s="72"/>
      <c r="AV57" s="72"/>
      <c r="AW57" s="72"/>
      <c r="AX57" s="72"/>
      <c r="AY57" s="72"/>
      <c r="AZ57" s="72"/>
      <c r="BA57" s="72"/>
      <c r="BB57" s="72"/>
      <c r="BC57" s="72"/>
      <c r="BD57" s="72"/>
      <c r="BE57" s="72"/>
      <c r="BF57" s="72"/>
      <c r="BG57" s="56"/>
      <c r="BH57" s="99"/>
      <c r="BI57" s="99"/>
      <c r="BJ57" s="99"/>
      <c r="BK57" s="99"/>
      <c r="BM57" s="56"/>
      <c r="BN57" s="56"/>
      <c r="BO57" s="56"/>
    </row>
    <row r="58" spans="1:67" s="84" customFormat="1" ht="15" customHeight="1" x14ac:dyDescent="0.45">
      <c r="A58" s="92"/>
      <c r="B58" s="56" t="s">
        <v>220</v>
      </c>
      <c r="C58" s="72">
        <v>1.5</v>
      </c>
      <c r="D58" s="72">
        <v>1.55</v>
      </c>
      <c r="E58" s="56">
        <v>1</v>
      </c>
      <c r="F58" s="56"/>
      <c r="G58" s="56"/>
      <c r="H58" s="72"/>
      <c r="I58" s="72">
        <f t="shared" ref="I58:I59" si="0">E58</f>
        <v>1</v>
      </c>
      <c r="J58" s="72">
        <f t="shared" ref="J58:J59" si="1">(C58+2*D58)*E58*$C$6</f>
        <v>0.64400000000000002</v>
      </c>
      <c r="K58" s="72">
        <f t="shared" ref="K58:K59" si="2">C58*E58</f>
        <v>1.5</v>
      </c>
      <c r="L58" s="72"/>
      <c r="M58" s="72"/>
      <c r="N58" s="72"/>
      <c r="O58" s="72"/>
      <c r="P58" s="72"/>
      <c r="Q58" s="72"/>
      <c r="R58" s="72"/>
      <c r="S58" s="72"/>
      <c r="T58" s="56"/>
      <c r="U58" s="72"/>
      <c r="V58" s="72"/>
      <c r="W58" s="72"/>
      <c r="X58" s="72"/>
      <c r="Y58" s="56"/>
      <c r="Z58" s="72"/>
      <c r="AA58" s="72"/>
      <c r="AB58" s="72"/>
      <c r="AC58" s="56"/>
      <c r="AD58" s="56"/>
      <c r="AE58" s="56"/>
      <c r="AF58" s="56"/>
      <c r="AG58" s="56"/>
      <c r="AI58" s="56"/>
      <c r="AJ58" s="72"/>
      <c r="AK58" s="72"/>
      <c r="AL58" s="72"/>
      <c r="AM58" s="56"/>
      <c r="AN58" s="72"/>
      <c r="AO58" s="72"/>
      <c r="AP58" s="72"/>
      <c r="AQ58" s="72"/>
      <c r="AR58" s="72"/>
      <c r="AS58" s="72"/>
      <c r="AT58" s="72"/>
      <c r="AU58" s="72"/>
      <c r="AV58" s="72"/>
      <c r="AW58" s="72"/>
      <c r="AX58" s="72"/>
      <c r="AY58" s="72"/>
      <c r="AZ58" s="72"/>
      <c r="BA58" s="72"/>
      <c r="BB58" s="72"/>
      <c r="BC58" s="72"/>
      <c r="BD58" s="72"/>
      <c r="BE58" s="72"/>
      <c r="BF58" s="72"/>
      <c r="BG58" s="56"/>
      <c r="BH58" s="99"/>
      <c r="BI58" s="99"/>
      <c r="BJ58" s="99"/>
      <c r="BK58" s="99"/>
      <c r="BM58" s="56"/>
      <c r="BN58" s="56"/>
      <c r="BO58" s="56"/>
    </row>
    <row r="59" spans="1:67" s="84" customFormat="1" ht="15" customHeight="1" x14ac:dyDescent="0.45">
      <c r="A59" s="92"/>
      <c r="B59" s="56" t="s">
        <v>221</v>
      </c>
      <c r="C59" s="72">
        <v>0.82</v>
      </c>
      <c r="D59" s="72">
        <v>0.81</v>
      </c>
      <c r="E59" s="56">
        <v>1</v>
      </c>
      <c r="F59" s="56"/>
      <c r="G59" s="56"/>
      <c r="H59" s="72"/>
      <c r="I59" s="72">
        <f t="shared" si="0"/>
        <v>1</v>
      </c>
      <c r="J59" s="72">
        <f t="shared" si="1"/>
        <v>0.34160000000000001</v>
      </c>
      <c r="K59" s="72">
        <f t="shared" si="2"/>
        <v>0.82</v>
      </c>
      <c r="L59" s="72"/>
      <c r="M59" s="72"/>
      <c r="N59" s="72"/>
      <c r="O59" s="72"/>
      <c r="P59" s="72"/>
      <c r="Q59" s="72"/>
      <c r="R59" s="72"/>
      <c r="S59" s="72"/>
      <c r="T59" s="56"/>
      <c r="U59" s="72"/>
      <c r="V59" s="72"/>
      <c r="W59" s="72"/>
      <c r="X59" s="72"/>
      <c r="Y59" s="56"/>
      <c r="Z59" s="72"/>
      <c r="AA59" s="72"/>
      <c r="AB59" s="72"/>
      <c r="AC59" s="56"/>
      <c r="AD59" s="56"/>
      <c r="AE59" s="56"/>
      <c r="AF59" s="56"/>
      <c r="AG59" s="56"/>
      <c r="AI59" s="56"/>
      <c r="AJ59" s="72"/>
      <c r="AK59" s="72"/>
      <c r="AL59" s="72"/>
      <c r="AM59" s="56"/>
      <c r="AN59" s="72"/>
      <c r="AO59" s="72"/>
      <c r="AP59" s="72"/>
      <c r="AQ59" s="72"/>
      <c r="AR59" s="72"/>
      <c r="AS59" s="72"/>
      <c r="AT59" s="72"/>
      <c r="AU59" s="72"/>
      <c r="AV59" s="72"/>
      <c r="AW59" s="72"/>
      <c r="AX59" s="72"/>
      <c r="AY59" s="72"/>
      <c r="AZ59" s="72"/>
      <c r="BA59" s="72"/>
      <c r="BB59" s="72"/>
      <c r="BC59" s="72"/>
      <c r="BD59" s="72"/>
      <c r="BE59" s="72"/>
      <c r="BF59" s="72"/>
      <c r="BG59" s="56"/>
      <c r="BH59" s="99"/>
      <c r="BI59" s="99"/>
      <c r="BJ59" s="99"/>
      <c r="BK59" s="99"/>
      <c r="BM59" s="56"/>
      <c r="BN59" s="56"/>
      <c r="BO59" s="56"/>
    </row>
    <row r="60" spans="1:67" s="84" customFormat="1" ht="15" customHeight="1" x14ac:dyDescent="0.35">
      <c r="A60" s="92" t="str">
        <f>'Popis del_fasada'!A36</f>
        <v>3</v>
      </c>
      <c r="B60" s="69" t="s">
        <v>32</v>
      </c>
      <c r="C60" s="85"/>
      <c r="D60" s="85"/>
      <c r="E60" s="71"/>
      <c r="F60" s="71"/>
      <c r="G60" s="69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56"/>
      <c r="U60" s="72"/>
      <c r="V60" s="72"/>
      <c r="W60" s="72"/>
      <c r="X60" s="72"/>
      <c r="Y60" s="56"/>
      <c r="Z60" s="72"/>
      <c r="AA60" s="72"/>
      <c r="AB60" s="72"/>
      <c r="AC60" s="56"/>
      <c r="AD60" s="56"/>
      <c r="AE60" s="56"/>
      <c r="AF60" s="56"/>
      <c r="AG60" s="56"/>
      <c r="AI60" s="56"/>
      <c r="AJ60" s="72"/>
      <c r="AK60" s="72"/>
      <c r="AL60" s="72"/>
      <c r="AM60" s="56"/>
      <c r="AN60" s="72"/>
      <c r="AO60" s="72"/>
      <c r="AP60" s="72"/>
      <c r="AQ60" s="72"/>
      <c r="AR60" s="72"/>
      <c r="AS60" s="72"/>
      <c r="AT60" s="72"/>
      <c r="AU60" s="72"/>
      <c r="AV60" s="72"/>
      <c r="AW60" s="72"/>
      <c r="AX60" s="72"/>
      <c r="AY60" s="72"/>
      <c r="AZ60" s="72"/>
      <c r="BA60" s="72"/>
      <c r="BB60" s="72"/>
      <c r="BC60" s="72"/>
      <c r="BD60" s="72"/>
      <c r="BE60" s="72"/>
      <c r="BF60" s="72"/>
      <c r="BG60" s="56"/>
      <c r="BH60" s="99"/>
      <c r="BI60" s="99"/>
      <c r="BJ60" s="99"/>
      <c r="BK60" s="99"/>
      <c r="BM60" s="56"/>
      <c r="BN60" s="56"/>
      <c r="BO60" s="56"/>
    </row>
    <row r="61" spans="1:67" s="84" customFormat="1" ht="15" customHeight="1" x14ac:dyDescent="0.45">
      <c r="A61" s="92"/>
      <c r="B61" s="56" t="s">
        <v>220</v>
      </c>
      <c r="C61" s="72">
        <v>1.5</v>
      </c>
      <c r="D61" s="72">
        <v>1.55</v>
      </c>
      <c r="E61" s="56">
        <v>1</v>
      </c>
      <c r="F61" s="71"/>
      <c r="G61" s="69"/>
      <c r="H61" s="72"/>
      <c r="I61" s="72"/>
      <c r="J61" s="72">
        <f t="shared" ref="J61:J67" si="3">(C61+2*D61)*E61*$C$6</f>
        <v>0.64400000000000002</v>
      </c>
      <c r="K61" s="72">
        <f t="shared" ref="K61:K65" si="4">C61*E61</f>
        <v>1.5</v>
      </c>
      <c r="L61" s="72"/>
      <c r="M61" s="72"/>
      <c r="N61" s="72"/>
      <c r="O61" s="72"/>
      <c r="P61" s="72"/>
      <c r="Q61" s="72"/>
      <c r="R61" s="72"/>
      <c r="S61" s="72"/>
      <c r="T61" s="56"/>
      <c r="U61" s="72"/>
      <c r="V61" s="72"/>
      <c r="W61" s="72"/>
      <c r="X61" s="72"/>
      <c r="Y61" s="56"/>
      <c r="Z61" s="72"/>
      <c r="AA61" s="72"/>
      <c r="AB61" s="72"/>
      <c r="AC61" s="56"/>
      <c r="AD61" s="56"/>
      <c r="AE61" s="56"/>
      <c r="AF61" s="56"/>
      <c r="AG61" s="56"/>
      <c r="AI61" s="56"/>
      <c r="AJ61" s="72"/>
      <c r="AK61" s="72"/>
      <c r="AL61" s="72"/>
      <c r="AM61" s="56"/>
      <c r="AN61" s="72"/>
      <c r="AO61" s="72"/>
      <c r="AP61" s="72"/>
      <c r="AQ61" s="72"/>
      <c r="AR61" s="72"/>
      <c r="AS61" s="72"/>
      <c r="AT61" s="72"/>
      <c r="AU61" s="72"/>
      <c r="AV61" s="72"/>
      <c r="AW61" s="72"/>
      <c r="AX61" s="72"/>
      <c r="AY61" s="72"/>
      <c r="AZ61" s="72"/>
      <c r="BA61" s="72"/>
      <c r="BB61" s="72"/>
      <c r="BC61" s="72"/>
      <c r="BD61" s="72"/>
      <c r="BE61" s="72"/>
      <c r="BF61" s="72"/>
      <c r="BG61" s="56"/>
      <c r="BH61" s="99"/>
      <c r="BI61" s="99"/>
      <c r="BJ61" s="99"/>
      <c r="BK61" s="99"/>
      <c r="BM61" s="56"/>
      <c r="BN61" s="56"/>
      <c r="BO61" s="56"/>
    </row>
    <row r="62" spans="1:67" s="84" customFormat="1" ht="15" customHeight="1" x14ac:dyDescent="0.45">
      <c r="A62" s="92"/>
      <c r="B62" s="56" t="s">
        <v>221</v>
      </c>
      <c r="C62" s="72">
        <v>0.82</v>
      </c>
      <c r="D62" s="72">
        <v>0.81</v>
      </c>
      <c r="E62" s="56">
        <v>1</v>
      </c>
      <c r="F62" s="71"/>
      <c r="G62" s="69"/>
      <c r="H62" s="72"/>
      <c r="I62" s="72"/>
      <c r="J62" s="72">
        <f t="shared" si="3"/>
        <v>0.34160000000000001</v>
      </c>
      <c r="K62" s="72">
        <f t="shared" si="4"/>
        <v>0.82</v>
      </c>
      <c r="L62" s="72"/>
      <c r="M62" s="72"/>
      <c r="N62" s="72"/>
      <c r="O62" s="72"/>
      <c r="P62" s="72"/>
      <c r="Q62" s="72"/>
      <c r="R62" s="72"/>
      <c r="S62" s="72"/>
      <c r="T62" s="56"/>
      <c r="U62" s="72"/>
      <c r="V62" s="72"/>
      <c r="W62" s="72"/>
      <c r="X62" s="72"/>
      <c r="Y62" s="56"/>
      <c r="Z62" s="72"/>
      <c r="AA62" s="72"/>
      <c r="AB62" s="72"/>
      <c r="AC62" s="56"/>
      <c r="AD62" s="56"/>
      <c r="AE62" s="56"/>
      <c r="AF62" s="56"/>
      <c r="AG62" s="56"/>
      <c r="AI62" s="56"/>
      <c r="AJ62" s="72"/>
      <c r="AK62" s="72"/>
      <c r="AL62" s="72"/>
      <c r="AM62" s="56"/>
      <c r="AN62" s="72"/>
      <c r="AO62" s="72"/>
      <c r="AP62" s="72"/>
      <c r="AQ62" s="72"/>
      <c r="AR62" s="72"/>
      <c r="AS62" s="72"/>
      <c r="AT62" s="72"/>
      <c r="AU62" s="72"/>
      <c r="AV62" s="72"/>
      <c r="AW62" s="72"/>
      <c r="AX62" s="72"/>
      <c r="AY62" s="72"/>
      <c r="AZ62" s="72"/>
      <c r="BA62" s="72"/>
      <c r="BB62" s="72"/>
      <c r="BC62" s="72"/>
      <c r="BD62" s="72"/>
      <c r="BE62" s="72"/>
      <c r="BF62" s="72"/>
      <c r="BG62" s="56"/>
      <c r="BH62" s="99"/>
      <c r="BI62" s="99"/>
      <c r="BJ62" s="99"/>
      <c r="BK62" s="99"/>
      <c r="BM62" s="56"/>
      <c r="BN62" s="56"/>
      <c r="BO62" s="56"/>
    </row>
    <row r="63" spans="1:67" s="84" customFormat="1" ht="15" customHeight="1" x14ac:dyDescent="0.45">
      <c r="A63" s="92"/>
      <c r="B63" s="56" t="s">
        <v>222</v>
      </c>
      <c r="C63" s="72">
        <v>0.63</v>
      </c>
      <c r="D63" s="72">
        <v>0.64</v>
      </c>
      <c r="E63" s="56">
        <v>1</v>
      </c>
      <c r="F63" s="71"/>
      <c r="G63" s="69"/>
      <c r="H63" s="72"/>
      <c r="I63" s="72"/>
      <c r="J63" s="72">
        <f t="shared" si="3"/>
        <v>0.26740000000000003</v>
      </c>
      <c r="K63" s="72">
        <f t="shared" si="4"/>
        <v>0.63</v>
      </c>
      <c r="L63" s="72"/>
      <c r="M63" s="72"/>
      <c r="N63" s="72"/>
      <c r="O63" s="72"/>
      <c r="P63" s="72"/>
      <c r="Q63" s="72"/>
      <c r="R63" s="72"/>
      <c r="S63" s="72"/>
      <c r="T63" s="56"/>
      <c r="U63" s="72"/>
      <c r="V63" s="72"/>
      <c r="W63" s="72"/>
      <c r="X63" s="72"/>
      <c r="Y63" s="56"/>
      <c r="Z63" s="72"/>
      <c r="AA63" s="72"/>
      <c r="AB63" s="72"/>
      <c r="AC63" s="56"/>
      <c r="AD63" s="56"/>
      <c r="AE63" s="56"/>
      <c r="AF63" s="56"/>
      <c r="AG63" s="56"/>
      <c r="AI63" s="56"/>
      <c r="AJ63" s="72"/>
      <c r="AK63" s="72"/>
      <c r="AL63" s="72"/>
      <c r="AM63" s="56"/>
      <c r="AN63" s="72"/>
      <c r="AO63" s="72"/>
      <c r="AP63" s="72"/>
      <c r="AQ63" s="72"/>
      <c r="AR63" s="72"/>
      <c r="AS63" s="72"/>
      <c r="AT63" s="72"/>
      <c r="AU63" s="72"/>
      <c r="AV63" s="72"/>
      <c r="AW63" s="72"/>
      <c r="AX63" s="72"/>
      <c r="AY63" s="72"/>
      <c r="AZ63" s="72"/>
      <c r="BA63" s="72"/>
      <c r="BB63" s="72"/>
      <c r="BC63" s="72"/>
      <c r="BD63" s="72"/>
      <c r="BE63" s="72"/>
      <c r="BF63" s="72"/>
      <c r="BG63" s="56"/>
      <c r="BH63" s="99"/>
      <c r="BI63" s="99"/>
      <c r="BJ63" s="99"/>
      <c r="BK63" s="99"/>
      <c r="BM63" s="56"/>
      <c r="BN63" s="56"/>
      <c r="BO63" s="56"/>
    </row>
    <row r="64" spans="1:67" s="84" customFormat="1" ht="15" customHeight="1" x14ac:dyDescent="0.45">
      <c r="A64" s="92"/>
      <c r="B64" s="56" t="s">
        <v>223</v>
      </c>
      <c r="C64" s="72">
        <v>0.6</v>
      </c>
      <c r="D64" s="72">
        <v>0.65</v>
      </c>
      <c r="E64" s="56">
        <v>1</v>
      </c>
      <c r="F64" s="71"/>
      <c r="G64" s="69"/>
      <c r="H64" s="72"/>
      <c r="I64" s="72"/>
      <c r="J64" s="72">
        <f t="shared" si="3"/>
        <v>0.26600000000000001</v>
      </c>
      <c r="K64" s="72">
        <f t="shared" si="4"/>
        <v>0.6</v>
      </c>
      <c r="L64" s="72"/>
      <c r="M64" s="72"/>
      <c r="N64" s="72"/>
      <c r="O64" s="72"/>
      <c r="P64" s="72"/>
      <c r="Q64" s="72"/>
      <c r="R64" s="72"/>
      <c r="S64" s="72"/>
      <c r="T64" s="56"/>
      <c r="U64" s="72"/>
      <c r="V64" s="72"/>
      <c r="W64" s="72"/>
      <c r="X64" s="72"/>
      <c r="Y64" s="56"/>
      <c r="Z64" s="72"/>
      <c r="AA64" s="72"/>
      <c r="AB64" s="72"/>
      <c r="AC64" s="56"/>
      <c r="AD64" s="56"/>
      <c r="AE64" s="56"/>
      <c r="AF64" s="56"/>
      <c r="AG64" s="56"/>
      <c r="AI64" s="56"/>
      <c r="AJ64" s="72"/>
      <c r="AK64" s="72"/>
      <c r="AL64" s="72"/>
      <c r="AM64" s="56"/>
      <c r="AN64" s="72"/>
      <c r="AO64" s="72"/>
      <c r="AP64" s="72"/>
      <c r="AQ64" s="72"/>
      <c r="AR64" s="72"/>
      <c r="AS64" s="72"/>
      <c r="AT64" s="72"/>
      <c r="AU64" s="72"/>
      <c r="AV64" s="72"/>
      <c r="AW64" s="72"/>
      <c r="AX64" s="72"/>
      <c r="AY64" s="72"/>
      <c r="AZ64" s="72"/>
      <c r="BA64" s="72"/>
      <c r="BB64" s="72"/>
      <c r="BC64" s="72"/>
      <c r="BD64" s="72"/>
      <c r="BE64" s="72"/>
      <c r="BF64" s="72"/>
      <c r="BG64" s="56"/>
      <c r="BH64" s="99"/>
      <c r="BI64" s="99"/>
      <c r="BJ64" s="99"/>
      <c r="BK64" s="99"/>
      <c r="BM64" s="56"/>
      <c r="BN64" s="56"/>
      <c r="BO64" s="56"/>
    </row>
    <row r="65" spans="1:67" s="84" customFormat="1" ht="15" customHeight="1" x14ac:dyDescent="0.45">
      <c r="A65" s="92"/>
      <c r="B65" s="56" t="s">
        <v>224</v>
      </c>
      <c r="C65" s="72">
        <v>0.66</v>
      </c>
      <c r="D65" s="72">
        <v>0.61</v>
      </c>
      <c r="E65" s="56">
        <v>1</v>
      </c>
      <c r="F65" s="71"/>
      <c r="G65" s="69"/>
      <c r="H65" s="72"/>
      <c r="I65" s="72"/>
      <c r="J65" s="72">
        <f t="shared" si="3"/>
        <v>0.26319999999999999</v>
      </c>
      <c r="K65" s="72">
        <f t="shared" si="4"/>
        <v>0.66</v>
      </c>
      <c r="L65" s="72"/>
      <c r="M65" s="72"/>
      <c r="N65" s="72"/>
      <c r="O65" s="72"/>
      <c r="P65" s="72"/>
      <c r="Q65" s="72"/>
      <c r="R65" s="72"/>
      <c r="S65" s="72"/>
      <c r="T65" s="56"/>
      <c r="U65" s="72"/>
      <c r="V65" s="72"/>
      <c r="W65" s="72"/>
      <c r="X65" s="72"/>
      <c r="Y65" s="56"/>
      <c r="Z65" s="72"/>
      <c r="AA65" s="72"/>
      <c r="AB65" s="72"/>
      <c r="AC65" s="56"/>
      <c r="AD65" s="56"/>
      <c r="AE65" s="56"/>
      <c r="AF65" s="56"/>
      <c r="AG65" s="56"/>
      <c r="AI65" s="56"/>
      <c r="AJ65" s="72"/>
      <c r="AK65" s="72"/>
      <c r="AL65" s="72"/>
      <c r="AM65" s="56"/>
      <c r="AN65" s="72"/>
      <c r="AO65" s="72"/>
      <c r="AP65" s="72"/>
      <c r="AQ65" s="72"/>
      <c r="AR65" s="72"/>
      <c r="AS65" s="72"/>
      <c r="AT65" s="72"/>
      <c r="AU65" s="72"/>
      <c r="AV65" s="72"/>
      <c r="AW65" s="72"/>
      <c r="AX65" s="72"/>
      <c r="AY65" s="72"/>
      <c r="AZ65" s="72"/>
      <c r="BA65" s="72"/>
      <c r="BB65" s="72"/>
      <c r="BC65" s="72"/>
      <c r="BD65" s="72"/>
      <c r="BE65" s="72"/>
      <c r="BF65" s="72"/>
      <c r="BG65" s="56"/>
      <c r="BH65" s="99"/>
      <c r="BI65" s="99"/>
      <c r="BJ65" s="99"/>
      <c r="BK65" s="99"/>
      <c r="BM65" s="56"/>
      <c r="BN65" s="56"/>
      <c r="BO65" s="56"/>
    </row>
    <row r="66" spans="1:67" s="84" customFormat="1" ht="15" customHeight="1" x14ac:dyDescent="0.45">
      <c r="A66" s="92"/>
      <c r="B66" s="56" t="s">
        <v>225</v>
      </c>
      <c r="C66" s="72">
        <v>1</v>
      </c>
      <c r="D66" s="72">
        <v>2.16</v>
      </c>
      <c r="E66" s="56">
        <v>1</v>
      </c>
      <c r="F66" s="71"/>
      <c r="G66" s="69"/>
      <c r="H66" s="72"/>
      <c r="I66" s="72"/>
      <c r="J66" s="72">
        <f t="shared" si="3"/>
        <v>0.74480000000000013</v>
      </c>
      <c r="K66" s="72"/>
      <c r="L66" s="72"/>
      <c r="M66" s="72"/>
      <c r="N66" s="72"/>
      <c r="O66" s="72"/>
      <c r="P66" s="72"/>
      <c r="Q66" s="72"/>
      <c r="R66" s="72"/>
      <c r="S66" s="72"/>
      <c r="T66" s="56"/>
      <c r="U66" s="72"/>
      <c r="V66" s="72"/>
      <c r="W66" s="72"/>
      <c r="X66" s="72"/>
      <c r="Y66" s="56"/>
      <c r="Z66" s="72"/>
      <c r="AA66" s="72"/>
      <c r="AB66" s="72"/>
      <c r="AC66" s="56"/>
      <c r="AD66" s="56"/>
      <c r="AE66" s="56"/>
      <c r="AF66" s="56"/>
      <c r="AG66" s="56"/>
      <c r="AI66" s="56"/>
      <c r="AJ66" s="72"/>
      <c r="AK66" s="72"/>
      <c r="AL66" s="72"/>
      <c r="AM66" s="56"/>
      <c r="AN66" s="72"/>
      <c r="AO66" s="72"/>
      <c r="AP66" s="72"/>
      <c r="AQ66" s="72"/>
      <c r="AR66" s="72"/>
      <c r="AS66" s="72"/>
      <c r="AT66" s="72"/>
      <c r="AU66" s="72"/>
      <c r="AV66" s="72"/>
      <c r="AW66" s="72"/>
      <c r="AX66" s="72"/>
      <c r="AY66" s="72"/>
      <c r="AZ66" s="72"/>
      <c r="BA66" s="72"/>
      <c r="BB66" s="72"/>
      <c r="BC66" s="72"/>
      <c r="BD66" s="72"/>
      <c r="BE66" s="72"/>
      <c r="BF66" s="72"/>
      <c r="BG66" s="56"/>
      <c r="BH66" s="99"/>
      <c r="BI66" s="99"/>
      <c r="BJ66" s="99"/>
      <c r="BK66" s="99"/>
      <c r="BM66" s="56"/>
      <c r="BN66" s="56"/>
      <c r="BO66" s="56"/>
    </row>
    <row r="67" spans="1:67" s="84" customFormat="1" ht="15" customHeight="1" x14ac:dyDescent="0.45">
      <c r="A67" s="92"/>
      <c r="B67" s="56" t="s">
        <v>226</v>
      </c>
      <c r="C67" s="72">
        <v>0.72</v>
      </c>
      <c r="D67" s="72">
        <v>2.2599999999999998</v>
      </c>
      <c r="E67" s="56">
        <v>1</v>
      </c>
      <c r="F67" s="71"/>
      <c r="G67" s="69"/>
      <c r="H67" s="72"/>
      <c r="I67" s="72"/>
      <c r="J67" s="72">
        <f t="shared" si="3"/>
        <v>0.73360000000000003</v>
      </c>
      <c r="K67" s="72"/>
      <c r="L67" s="72"/>
      <c r="M67" s="72"/>
      <c r="N67" s="72"/>
      <c r="O67" s="72"/>
      <c r="P67" s="72"/>
      <c r="Q67" s="72"/>
      <c r="R67" s="72"/>
      <c r="S67" s="72"/>
      <c r="T67" s="56"/>
      <c r="U67" s="72"/>
      <c r="V67" s="72"/>
      <c r="W67" s="72"/>
      <c r="X67" s="72"/>
      <c r="Y67" s="56"/>
      <c r="Z67" s="72"/>
      <c r="AA67" s="72"/>
      <c r="AB67" s="72"/>
      <c r="AC67" s="56"/>
      <c r="AD67" s="56"/>
      <c r="AE67" s="56"/>
      <c r="AF67" s="56"/>
      <c r="AG67" s="56"/>
      <c r="AI67" s="56"/>
      <c r="AJ67" s="72"/>
      <c r="AK67" s="72"/>
      <c r="AL67" s="72"/>
      <c r="AM67" s="56"/>
      <c r="AN67" s="72"/>
      <c r="AO67" s="72"/>
      <c r="AP67" s="72"/>
      <c r="AQ67" s="72"/>
      <c r="AR67" s="72"/>
      <c r="AS67" s="72"/>
      <c r="AT67" s="72"/>
      <c r="AU67" s="72"/>
      <c r="AV67" s="72"/>
      <c r="AW67" s="72"/>
      <c r="AX67" s="72"/>
      <c r="AY67" s="72"/>
      <c r="AZ67" s="72"/>
      <c r="BA67" s="72"/>
      <c r="BB67" s="72"/>
      <c r="BC67" s="72"/>
      <c r="BD67" s="72"/>
      <c r="BE67" s="72"/>
      <c r="BF67" s="72"/>
      <c r="BG67" s="56"/>
      <c r="BH67" s="99"/>
      <c r="BI67" s="99"/>
      <c r="BJ67" s="99"/>
      <c r="BK67" s="99"/>
      <c r="BM67" s="56"/>
      <c r="BN67" s="56"/>
      <c r="BO67" s="56"/>
    </row>
    <row r="68" spans="1:67" s="84" customFormat="1" ht="15" customHeight="1" x14ac:dyDescent="0.35">
      <c r="A68" s="92" t="str">
        <f>'Popis del_fasada'!A40</f>
        <v>5</v>
      </c>
      <c r="B68" s="69" t="s">
        <v>147</v>
      </c>
      <c r="C68" s="72">
        <v>10.57</v>
      </c>
      <c r="D68" s="72">
        <v>0.5</v>
      </c>
      <c r="E68" s="56"/>
      <c r="F68" s="71"/>
      <c r="G68" s="69"/>
      <c r="H68" s="72"/>
      <c r="I68" s="72"/>
      <c r="J68" s="72"/>
      <c r="K68" s="72"/>
      <c r="L68" s="72"/>
      <c r="M68" s="72">
        <f>C68*D68</f>
        <v>5.2850000000000001</v>
      </c>
      <c r="N68" s="72"/>
      <c r="O68" s="72"/>
      <c r="P68" s="72"/>
      <c r="Q68" s="72"/>
      <c r="R68" s="72"/>
      <c r="S68" s="72"/>
      <c r="T68" s="56"/>
      <c r="U68" s="72"/>
      <c r="V68" s="72"/>
      <c r="W68" s="72"/>
      <c r="X68" s="72"/>
      <c r="Y68" s="56"/>
      <c r="Z68" s="72"/>
      <c r="AA68" s="72"/>
      <c r="AB68" s="72"/>
      <c r="AC68" s="56"/>
      <c r="AD68" s="56"/>
      <c r="AE68" s="56"/>
      <c r="AF68" s="56"/>
      <c r="AG68" s="56"/>
      <c r="AI68" s="56"/>
      <c r="AJ68" s="72"/>
      <c r="AK68" s="72"/>
      <c r="AL68" s="72"/>
      <c r="AM68" s="56"/>
      <c r="AN68" s="72"/>
      <c r="AO68" s="72"/>
      <c r="AP68" s="72"/>
      <c r="AQ68" s="72"/>
      <c r="AR68" s="72"/>
      <c r="AS68" s="72"/>
      <c r="AT68" s="72"/>
      <c r="AU68" s="72"/>
      <c r="AV68" s="72"/>
      <c r="AW68" s="72"/>
      <c r="AX68" s="72"/>
      <c r="AY68" s="72"/>
      <c r="AZ68" s="72"/>
      <c r="BA68" s="72"/>
      <c r="BB68" s="72"/>
      <c r="BC68" s="72"/>
      <c r="BD68" s="72"/>
      <c r="BE68" s="72"/>
      <c r="BF68" s="72"/>
      <c r="BG68" s="56"/>
      <c r="BH68" s="99"/>
      <c r="BI68" s="99"/>
      <c r="BJ68" s="99"/>
      <c r="BK68" s="99"/>
      <c r="BM68" s="56"/>
      <c r="BN68" s="56"/>
      <c r="BO68" s="56"/>
    </row>
    <row r="69" spans="1:67" s="84" customFormat="1" ht="15" customHeight="1" x14ac:dyDescent="0.35">
      <c r="A69" s="92">
        <f>'Popis del_fasada'!A46</f>
        <v>8</v>
      </c>
      <c r="B69" s="69" t="s">
        <v>140</v>
      </c>
      <c r="C69" s="72">
        <v>2.9</v>
      </c>
      <c r="D69" s="72"/>
      <c r="E69" s="56"/>
      <c r="F69" s="71"/>
      <c r="G69" s="69"/>
      <c r="H69" s="72"/>
      <c r="I69" s="72"/>
      <c r="J69" s="72"/>
      <c r="K69" s="72"/>
      <c r="L69" s="72">
        <f>C69</f>
        <v>2.9</v>
      </c>
      <c r="M69" s="72"/>
      <c r="N69" s="72"/>
      <c r="O69" s="72"/>
      <c r="P69" s="72"/>
      <c r="Q69" s="72"/>
      <c r="R69" s="72"/>
      <c r="S69" s="72"/>
      <c r="T69" s="56"/>
      <c r="U69" s="72"/>
      <c r="V69" s="72"/>
      <c r="W69" s="72"/>
      <c r="X69" s="72"/>
      <c r="Y69" s="56"/>
      <c r="Z69" s="72"/>
      <c r="AA69" s="72"/>
      <c r="AB69" s="72"/>
      <c r="AC69" s="56"/>
      <c r="AD69" s="56"/>
      <c r="AE69" s="56"/>
      <c r="AF69" s="56"/>
      <c r="AG69" s="56"/>
      <c r="AI69" s="56"/>
      <c r="AJ69" s="72"/>
      <c r="AK69" s="72"/>
      <c r="AL69" s="72"/>
      <c r="AM69" s="56"/>
      <c r="AN69" s="72"/>
      <c r="AO69" s="72"/>
      <c r="AP69" s="72"/>
      <c r="AQ69" s="72"/>
      <c r="AR69" s="72"/>
      <c r="AS69" s="72"/>
      <c r="AT69" s="72"/>
      <c r="AU69" s="72"/>
      <c r="AV69" s="72"/>
      <c r="AW69" s="72"/>
      <c r="AX69" s="72"/>
      <c r="AY69" s="72"/>
      <c r="AZ69" s="72"/>
      <c r="BA69" s="72"/>
      <c r="BB69" s="72"/>
      <c r="BC69" s="72"/>
      <c r="BD69" s="72"/>
      <c r="BE69" s="72"/>
      <c r="BF69" s="72"/>
      <c r="BG69" s="56"/>
      <c r="BH69" s="99"/>
      <c r="BI69" s="99"/>
      <c r="BJ69" s="99"/>
      <c r="BK69" s="99"/>
      <c r="BM69" s="56"/>
      <c r="BN69" s="56"/>
      <c r="BO69" s="56"/>
    </row>
    <row r="70" spans="1:67" s="84" customFormat="1" ht="15" customHeight="1" x14ac:dyDescent="0.35">
      <c r="A70" s="92">
        <f>'Popis del_fasada'!A50</f>
        <v>10</v>
      </c>
      <c r="B70" s="69" t="s">
        <v>165</v>
      </c>
      <c r="C70" s="72"/>
      <c r="D70" s="72"/>
      <c r="E70" s="56"/>
      <c r="F70" s="71"/>
      <c r="G70" s="69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56"/>
      <c r="U70" s="72"/>
      <c r="V70" s="72"/>
      <c r="W70" s="72"/>
      <c r="X70" s="72"/>
      <c r="Y70" s="56"/>
      <c r="Z70" s="72"/>
      <c r="AA70" s="72"/>
      <c r="AB70" s="72"/>
      <c r="AC70" s="56"/>
      <c r="AD70" s="56"/>
      <c r="AE70" s="56"/>
      <c r="AF70" s="56"/>
      <c r="AG70" s="56"/>
      <c r="AI70" s="56"/>
      <c r="AJ70" s="72"/>
      <c r="AK70" s="72"/>
      <c r="AL70" s="72"/>
      <c r="AM70" s="56"/>
      <c r="AN70" s="72"/>
      <c r="AO70" s="72"/>
      <c r="AP70" s="72"/>
      <c r="AQ70" s="72"/>
      <c r="AR70" s="72"/>
      <c r="AS70" s="72"/>
      <c r="AT70" s="72"/>
      <c r="AU70" s="72"/>
      <c r="AV70" s="72"/>
      <c r="AW70" s="72"/>
      <c r="AX70" s="72"/>
      <c r="AY70" s="72"/>
      <c r="AZ70" s="72"/>
      <c r="BA70" s="72"/>
      <c r="BB70" s="72"/>
      <c r="BC70" s="72"/>
      <c r="BD70" s="72"/>
      <c r="BE70" s="72"/>
      <c r="BF70" s="72"/>
      <c r="BG70" s="56"/>
      <c r="BH70" s="99"/>
      <c r="BI70" s="99"/>
      <c r="BJ70" s="99"/>
      <c r="BK70" s="99"/>
      <c r="BM70" s="56"/>
      <c r="BN70" s="56"/>
      <c r="BO70" s="56"/>
    </row>
    <row r="71" spans="1:67" s="84" customFormat="1" ht="15" customHeight="1" x14ac:dyDescent="0.35">
      <c r="A71" s="92">
        <f>'Popis del_fasada'!A52</f>
        <v>11</v>
      </c>
      <c r="B71" s="69" t="s">
        <v>189</v>
      </c>
      <c r="C71" s="72">
        <f>3.24</f>
        <v>3.24</v>
      </c>
      <c r="D71" s="72">
        <f>2*1.8</f>
        <v>3.6</v>
      </c>
      <c r="E71" s="56"/>
      <c r="F71" s="71"/>
      <c r="G71" s="69"/>
      <c r="H71" s="72"/>
      <c r="I71" s="72"/>
      <c r="J71" s="72"/>
      <c r="K71" s="72"/>
      <c r="L71" s="72"/>
      <c r="M71" s="72"/>
      <c r="N71" s="72"/>
      <c r="O71" s="72"/>
      <c r="P71" s="72">
        <f>C71+D71</f>
        <v>6.84</v>
      </c>
      <c r="Q71" s="72"/>
      <c r="R71" s="72"/>
      <c r="S71" s="72"/>
      <c r="T71" s="56"/>
      <c r="U71" s="72"/>
      <c r="V71" s="72"/>
      <c r="W71" s="72"/>
      <c r="X71" s="72"/>
      <c r="Y71" s="56"/>
      <c r="Z71" s="72"/>
      <c r="AA71" s="72"/>
      <c r="AB71" s="72"/>
      <c r="AC71" s="56"/>
      <c r="AD71" s="56"/>
      <c r="AE71" s="56"/>
      <c r="AF71" s="56"/>
      <c r="AG71" s="56"/>
      <c r="AI71" s="56"/>
      <c r="AJ71" s="72"/>
      <c r="AK71" s="72"/>
      <c r="AL71" s="72"/>
      <c r="AM71" s="56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56"/>
      <c r="BH71" s="99"/>
      <c r="BI71" s="99"/>
      <c r="BJ71" s="99"/>
      <c r="BK71" s="99"/>
      <c r="BM71" s="56"/>
      <c r="BN71" s="56"/>
      <c r="BO71" s="56"/>
    </row>
    <row r="72" spans="1:67" s="84" customFormat="1" ht="15" customHeight="1" x14ac:dyDescent="0.35">
      <c r="A72" s="92">
        <f>'Popis del_fasada'!A54</f>
        <v>12</v>
      </c>
      <c r="B72" s="69" t="s">
        <v>191</v>
      </c>
      <c r="C72" s="72">
        <f>2.54+2.84</f>
        <v>5.38</v>
      </c>
      <c r="D72" s="72">
        <v>1.8</v>
      </c>
      <c r="E72" s="56"/>
      <c r="F72" s="71"/>
      <c r="G72" s="69"/>
      <c r="H72" s="72"/>
      <c r="I72" s="72"/>
      <c r="J72" s="72"/>
      <c r="K72" s="72"/>
      <c r="L72" s="72"/>
      <c r="M72" s="72"/>
      <c r="N72" s="72"/>
      <c r="O72" s="72"/>
      <c r="P72" s="72"/>
      <c r="Q72" s="72">
        <f>C72+D72</f>
        <v>7.18</v>
      </c>
      <c r="R72" s="72"/>
      <c r="S72" s="72"/>
      <c r="T72" s="56"/>
      <c r="U72" s="72"/>
      <c r="V72" s="72"/>
      <c r="W72" s="72"/>
      <c r="X72" s="72"/>
      <c r="Y72" s="56"/>
      <c r="Z72" s="72"/>
      <c r="AA72" s="72"/>
      <c r="AB72" s="72"/>
      <c r="AC72" s="56"/>
      <c r="AD72" s="56"/>
      <c r="AE72" s="56"/>
      <c r="AF72" s="56"/>
      <c r="AG72" s="56"/>
      <c r="AI72" s="56"/>
      <c r="AJ72" s="72"/>
      <c r="AK72" s="72"/>
      <c r="AL72" s="72"/>
      <c r="AM72" s="56"/>
      <c r="AN72" s="72"/>
      <c r="AO72" s="72"/>
      <c r="AP72" s="72"/>
      <c r="AQ72" s="72"/>
      <c r="AR72" s="72"/>
      <c r="AS72" s="72"/>
      <c r="AT72" s="72"/>
      <c r="AU72" s="72"/>
      <c r="AV72" s="72"/>
      <c r="AW72" s="72"/>
      <c r="AX72" s="72"/>
      <c r="AY72" s="72"/>
      <c r="AZ72" s="72"/>
      <c r="BA72" s="72"/>
      <c r="BB72" s="72"/>
      <c r="BC72" s="72"/>
      <c r="BD72" s="72"/>
      <c r="BE72" s="72"/>
      <c r="BF72" s="72"/>
      <c r="BG72" s="56"/>
      <c r="BH72" s="99"/>
      <c r="BI72" s="99"/>
      <c r="BJ72" s="99"/>
      <c r="BK72" s="99"/>
      <c r="BM72" s="56"/>
      <c r="BN72" s="56"/>
      <c r="BO72" s="56"/>
    </row>
    <row r="73" spans="1:67" s="84" customFormat="1" ht="15" customHeight="1" x14ac:dyDescent="0.35">
      <c r="A73" s="92"/>
      <c r="B73" s="69"/>
      <c r="C73" s="72"/>
      <c r="D73" s="72"/>
      <c r="E73" s="56"/>
      <c r="F73" s="71"/>
      <c r="G73" s="69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56"/>
      <c r="U73" s="72"/>
      <c r="V73" s="72"/>
      <c r="W73" s="72"/>
      <c r="X73" s="72"/>
      <c r="Y73" s="56"/>
      <c r="Z73" s="72"/>
      <c r="AA73" s="72"/>
      <c r="AB73" s="72"/>
      <c r="AC73" s="56"/>
      <c r="AD73" s="56"/>
      <c r="AE73" s="56"/>
      <c r="AF73" s="56"/>
      <c r="AG73" s="56"/>
      <c r="AI73" s="56"/>
      <c r="AJ73" s="72"/>
      <c r="AK73" s="72"/>
      <c r="AL73" s="72"/>
      <c r="AM73" s="56"/>
      <c r="AN73" s="72"/>
      <c r="AO73" s="72"/>
      <c r="AP73" s="72"/>
      <c r="AQ73" s="72"/>
      <c r="AR73" s="72"/>
      <c r="AS73" s="72"/>
      <c r="AT73" s="72"/>
      <c r="AU73" s="72"/>
      <c r="AV73" s="72"/>
      <c r="AW73" s="72"/>
      <c r="AX73" s="72"/>
      <c r="AY73" s="72"/>
      <c r="AZ73" s="72"/>
      <c r="BA73" s="72"/>
      <c r="BB73" s="72"/>
      <c r="BC73" s="72"/>
      <c r="BD73" s="72"/>
      <c r="BE73" s="72"/>
      <c r="BF73" s="72"/>
      <c r="BG73" s="56"/>
      <c r="BH73" s="99"/>
      <c r="BI73" s="99"/>
      <c r="BJ73" s="99"/>
      <c r="BK73" s="99"/>
      <c r="BM73" s="56"/>
      <c r="BN73" s="56"/>
      <c r="BO73" s="56"/>
    </row>
    <row r="74" spans="1:67" s="84" customFormat="1" ht="15" customHeight="1" x14ac:dyDescent="0.35">
      <c r="A74" s="92">
        <f>'Popis del_fasada'!A58</f>
        <v>14</v>
      </c>
      <c r="B74" s="69" t="s">
        <v>157</v>
      </c>
      <c r="C74" s="72">
        <v>3.44</v>
      </c>
      <c r="D74" s="72">
        <v>2.02</v>
      </c>
      <c r="E74" s="56"/>
      <c r="F74" s="71"/>
      <c r="G74" s="69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>
        <f>C74*D74</f>
        <v>6.9488000000000003</v>
      </c>
      <c r="S74" s="72"/>
      <c r="T74" s="56"/>
      <c r="U74" s="72"/>
      <c r="V74" s="72"/>
      <c r="W74" s="72"/>
      <c r="X74" s="72"/>
      <c r="Y74" s="56"/>
      <c r="Z74" s="72"/>
      <c r="AA74" s="72"/>
      <c r="AB74" s="72"/>
      <c r="AC74" s="56"/>
      <c r="AD74" s="56"/>
      <c r="AE74" s="56"/>
      <c r="AF74" s="56"/>
      <c r="AG74" s="56"/>
      <c r="AI74" s="56"/>
      <c r="AJ74" s="72"/>
      <c r="AK74" s="72"/>
      <c r="AL74" s="72"/>
      <c r="AM74" s="56"/>
      <c r="AN74" s="72"/>
      <c r="AO74" s="72"/>
      <c r="AP74" s="72"/>
      <c r="AQ74" s="72"/>
      <c r="AR74" s="72"/>
      <c r="AS74" s="72"/>
      <c r="AT74" s="72"/>
      <c r="AU74" s="72"/>
      <c r="AV74" s="72"/>
      <c r="AW74" s="72"/>
      <c r="AX74" s="72"/>
      <c r="AY74" s="72"/>
      <c r="AZ74" s="72"/>
      <c r="BA74" s="72"/>
      <c r="BB74" s="72"/>
      <c r="BC74" s="72"/>
      <c r="BD74" s="72"/>
      <c r="BE74" s="72"/>
      <c r="BF74" s="72"/>
      <c r="BG74" s="56"/>
      <c r="BH74" s="99"/>
      <c r="BI74" s="99"/>
      <c r="BJ74" s="99"/>
      <c r="BK74" s="99"/>
      <c r="BM74" s="56"/>
      <c r="BN74" s="56"/>
      <c r="BO74" s="56"/>
    </row>
    <row r="75" spans="1:67" s="84" customFormat="1" ht="15" customHeight="1" x14ac:dyDescent="0.35">
      <c r="A75" s="92"/>
      <c r="B75" s="56" t="s">
        <v>158</v>
      </c>
      <c r="C75" s="56">
        <v>3.2</v>
      </c>
      <c r="D75" s="56">
        <v>1.3</v>
      </c>
      <c r="E75" s="56"/>
      <c r="F75" s="56"/>
      <c r="G75" s="56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>
        <f>C75*D75</f>
        <v>4.16</v>
      </c>
      <c r="S75" s="72"/>
      <c r="T75" s="56"/>
      <c r="U75" s="72"/>
      <c r="V75" s="72"/>
      <c r="W75" s="72"/>
      <c r="X75" s="72"/>
      <c r="Y75" s="56"/>
      <c r="Z75" s="72"/>
      <c r="AA75" s="72"/>
      <c r="AB75" s="72"/>
      <c r="AC75" s="56"/>
      <c r="AD75" s="56"/>
      <c r="AE75" s="56"/>
      <c r="AF75" s="56"/>
      <c r="AG75" s="56"/>
      <c r="AI75" s="56"/>
      <c r="AJ75" s="72"/>
      <c r="AK75" s="72"/>
      <c r="AL75" s="72"/>
      <c r="AM75" s="56"/>
      <c r="AN75" s="72"/>
      <c r="AO75" s="72"/>
      <c r="AP75" s="72"/>
      <c r="AQ75" s="72"/>
      <c r="AR75" s="72"/>
      <c r="AS75" s="72"/>
      <c r="AT75" s="72"/>
      <c r="AU75" s="72"/>
      <c r="AV75" s="72"/>
      <c r="AW75" s="72"/>
      <c r="AX75" s="72"/>
      <c r="AY75" s="72"/>
      <c r="AZ75" s="72"/>
      <c r="BA75" s="72"/>
      <c r="BB75" s="72"/>
      <c r="BC75" s="72"/>
      <c r="BD75" s="72"/>
      <c r="BE75" s="72"/>
      <c r="BF75" s="72"/>
      <c r="BG75" s="56"/>
      <c r="BH75" s="99"/>
      <c r="BI75" s="99"/>
      <c r="BJ75" s="99"/>
      <c r="BK75" s="99"/>
      <c r="BM75" s="56"/>
      <c r="BN75" s="56"/>
      <c r="BO75" s="56"/>
    </row>
    <row r="76" spans="1:67" s="84" customFormat="1" ht="15" customHeight="1" x14ac:dyDescent="0.35">
      <c r="A76" s="92"/>
      <c r="B76" s="56"/>
      <c r="C76" s="56"/>
      <c r="D76" s="56"/>
      <c r="E76" s="56"/>
      <c r="F76" s="56"/>
      <c r="G76" s="56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56"/>
      <c r="U76" s="72"/>
      <c r="V76" s="72"/>
      <c r="W76" s="72"/>
      <c r="X76" s="72"/>
      <c r="Y76" s="56"/>
      <c r="Z76" s="72"/>
      <c r="AA76" s="72"/>
      <c r="AB76" s="72"/>
      <c r="AC76" s="56"/>
      <c r="AD76" s="56"/>
      <c r="AE76" s="56"/>
      <c r="AF76" s="56"/>
      <c r="AG76" s="56"/>
      <c r="AI76" s="56"/>
      <c r="AJ76" s="72"/>
      <c r="AK76" s="72"/>
      <c r="AL76" s="72"/>
      <c r="AM76" s="56"/>
      <c r="AN76" s="72"/>
      <c r="AO76" s="72"/>
      <c r="AP76" s="72"/>
      <c r="AQ76" s="72"/>
      <c r="AR76" s="72"/>
      <c r="AS76" s="72"/>
      <c r="AT76" s="72"/>
      <c r="AU76" s="72"/>
      <c r="AV76" s="72"/>
      <c r="AW76" s="72"/>
      <c r="AX76" s="72"/>
      <c r="AY76" s="72"/>
      <c r="AZ76" s="72"/>
      <c r="BA76" s="72"/>
      <c r="BB76" s="72"/>
      <c r="BC76" s="72"/>
      <c r="BD76" s="72"/>
      <c r="BE76" s="72"/>
      <c r="BF76" s="72"/>
      <c r="BG76" s="56"/>
      <c r="BH76" s="99"/>
      <c r="BI76" s="99"/>
      <c r="BJ76" s="99"/>
      <c r="BK76" s="99"/>
      <c r="BM76" s="56"/>
      <c r="BN76" s="56"/>
      <c r="BO76" s="56"/>
    </row>
    <row r="77" spans="1:67" s="84" customFormat="1" ht="15" customHeight="1" x14ac:dyDescent="0.35">
      <c r="A77" s="92"/>
      <c r="B77" s="69" t="str">
        <f>'Popis del_fasada'!B66</f>
        <v>ZEMELJSKA DELA</v>
      </c>
      <c r="C77" s="99"/>
      <c r="G77" s="56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56"/>
      <c r="U77" s="72"/>
      <c r="V77" s="72"/>
      <c r="W77" s="72"/>
      <c r="X77" s="72"/>
      <c r="Y77" s="56"/>
      <c r="Z77" s="72"/>
      <c r="AA77" s="72"/>
      <c r="AB77" s="72"/>
      <c r="AC77" s="56"/>
      <c r="AD77" s="56"/>
      <c r="AE77" s="56"/>
      <c r="AF77" s="56"/>
      <c r="AG77" s="56"/>
      <c r="AI77" s="56"/>
      <c r="AJ77" s="72"/>
      <c r="AK77" s="72"/>
      <c r="AL77" s="72"/>
      <c r="AM77" s="56"/>
      <c r="AN77" s="72"/>
      <c r="AO77" s="72"/>
      <c r="AP77" s="72"/>
      <c r="AQ77" s="72"/>
      <c r="AR77" s="72"/>
      <c r="AS77" s="72"/>
      <c r="AT77" s="72"/>
      <c r="AU77" s="72"/>
      <c r="AV77" s="72"/>
      <c r="AW77" s="72"/>
      <c r="AX77" s="72"/>
      <c r="AY77" s="72"/>
      <c r="AZ77" s="72"/>
      <c r="BA77" s="72"/>
      <c r="BB77" s="72"/>
      <c r="BC77" s="72"/>
      <c r="BD77" s="72"/>
      <c r="BE77" s="72"/>
      <c r="BF77" s="72"/>
      <c r="BG77" s="56"/>
      <c r="BH77" s="99"/>
      <c r="BI77" s="99"/>
      <c r="BJ77" s="99"/>
      <c r="BK77" s="99"/>
      <c r="BM77" s="56"/>
      <c r="BN77" s="56"/>
      <c r="BO77" s="56"/>
    </row>
    <row r="78" spans="1:67" s="84" customFormat="1" ht="15" customHeight="1" x14ac:dyDescent="0.35">
      <c r="A78" s="92" t="str">
        <f>'Popis del_fasada'!A70</f>
        <v>2</v>
      </c>
      <c r="B78" s="69" t="s">
        <v>76</v>
      </c>
      <c r="C78" s="56">
        <f>3.91+0.5+1.75</f>
        <v>6.16</v>
      </c>
      <c r="D78" s="89">
        <v>0.5</v>
      </c>
      <c r="E78" s="56">
        <v>0.5</v>
      </c>
      <c r="G78" s="56"/>
      <c r="H78" s="72"/>
      <c r="I78" s="72"/>
      <c r="J78" s="72"/>
      <c r="K78" s="72"/>
      <c r="L78" s="72"/>
      <c r="M78" s="72"/>
      <c r="N78" s="72"/>
      <c r="O78" s="72"/>
      <c r="P78" s="72"/>
      <c r="Q78" s="72"/>
      <c r="R78" s="72"/>
      <c r="S78" s="72"/>
      <c r="T78" s="56"/>
      <c r="U78" s="72">
        <f>C78*D78*E78</f>
        <v>1.54</v>
      </c>
      <c r="V78" s="72"/>
      <c r="W78" s="72"/>
      <c r="X78" s="72"/>
      <c r="Y78" s="56"/>
      <c r="Z78" s="72"/>
      <c r="AA78" s="72"/>
      <c r="AB78" s="72"/>
      <c r="AC78" s="56"/>
      <c r="AD78" s="56"/>
      <c r="AE78" s="56"/>
      <c r="AF78" s="56"/>
      <c r="AG78" s="56"/>
      <c r="AI78" s="56"/>
      <c r="AJ78" s="72"/>
      <c r="AK78" s="72"/>
      <c r="AL78" s="72"/>
      <c r="AM78" s="56"/>
      <c r="AN78" s="72"/>
      <c r="AO78" s="72"/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56"/>
      <c r="BH78" s="99"/>
      <c r="BI78" s="99"/>
      <c r="BJ78" s="99"/>
      <c r="BK78" s="99"/>
      <c r="BM78" s="56"/>
      <c r="BN78" s="56"/>
      <c r="BO78" s="56"/>
    </row>
    <row r="79" spans="1:67" s="84" customFormat="1" ht="15" customHeight="1" x14ac:dyDescent="0.35">
      <c r="A79" s="92" t="str">
        <f>'Popis del_fasada'!A76</f>
        <v>5</v>
      </c>
      <c r="B79" s="69" t="s">
        <v>116</v>
      </c>
      <c r="C79" s="56">
        <f>3.91+0.5+1.75</f>
        <v>6.16</v>
      </c>
      <c r="D79" s="89">
        <v>0.4</v>
      </c>
      <c r="E79" s="56">
        <v>0.5</v>
      </c>
      <c r="G79" s="56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56"/>
      <c r="U79" s="72"/>
      <c r="V79" s="72"/>
      <c r="W79" s="72"/>
      <c r="X79" s="72">
        <f>C79*D79*E79</f>
        <v>1.2320000000000002</v>
      </c>
      <c r="Y79" s="56"/>
      <c r="Z79" s="72"/>
      <c r="AA79" s="72"/>
      <c r="AB79" s="72"/>
      <c r="AC79" s="56"/>
      <c r="AD79" s="56"/>
      <c r="AE79" s="56"/>
      <c r="AF79" s="56"/>
      <c r="AG79" s="56"/>
      <c r="AI79" s="56"/>
      <c r="AJ79" s="72"/>
      <c r="AK79" s="72"/>
      <c r="AL79" s="72"/>
      <c r="AM79" s="56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56"/>
      <c r="BH79" s="99"/>
      <c r="BI79" s="99"/>
      <c r="BJ79" s="99"/>
      <c r="BK79" s="99"/>
      <c r="BM79" s="56"/>
      <c r="BN79" s="56"/>
      <c r="BO79" s="56"/>
    </row>
    <row r="80" spans="1:67" s="84" customFormat="1" ht="15" customHeight="1" x14ac:dyDescent="0.35">
      <c r="A80" s="92"/>
      <c r="B80" s="98"/>
      <c r="C80" s="72"/>
      <c r="D80" s="56"/>
      <c r="E80" s="56"/>
      <c r="F80" s="56"/>
      <c r="G80" s="56"/>
      <c r="H80" s="72"/>
      <c r="I80" s="72"/>
      <c r="J80" s="72"/>
      <c r="K80" s="72"/>
      <c r="L80" s="72"/>
      <c r="M80" s="72"/>
      <c r="N80" s="72"/>
      <c r="O80" s="72"/>
      <c r="P80" s="72"/>
      <c r="Q80" s="72"/>
      <c r="R80" s="72"/>
      <c r="S80" s="72"/>
      <c r="T80" s="56"/>
      <c r="U80" s="72"/>
      <c r="V80" s="72"/>
      <c r="W80" s="72"/>
      <c r="X80" s="72"/>
      <c r="Y80" s="56"/>
      <c r="Z80" s="72"/>
      <c r="AA80" s="72"/>
      <c r="AB80" s="72"/>
      <c r="AC80" s="56"/>
      <c r="AD80" s="56"/>
      <c r="AE80" s="56"/>
      <c r="AF80" s="56"/>
      <c r="AG80" s="56"/>
      <c r="AI80" s="56"/>
      <c r="AJ80" s="72"/>
      <c r="AK80" s="72"/>
      <c r="AL80" s="72"/>
      <c r="AM80" s="56"/>
      <c r="AN80" s="72"/>
      <c r="AO80" s="72"/>
      <c r="AP80" s="72"/>
      <c r="AQ80" s="72"/>
      <c r="AR80" s="72"/>
      <c r="AS80" s="72"/>
      <c r="AT80" s="72"/>
      <c r="AU80" s="72"/>
      <c r="AV80" s="72"/>
      <c r="AW80" s="72"/>
      <c r="AX80" s="72"/>
      <c r="AY80" s="72"/>
      <c r="AZ80" s="72"/>
      <c r="BA80" s="72"/>
      <c r="BB80" s="72"/>
      <c r="BC80" s="72"/>
      <c r="BD80" s="72"/>
      <c r="BE80" s="72"/>
      <c r="BF80" s="72"/>
      <c r="BG80" s="56"/>
      <c r="BH80" s="99"/>
      <c r="BI80" s="99"/>
      <c r="BJ80" s="99"/>
      <c r="BK80" s="99"/>
      <c r="BM80" s="56"/>
      <c r="BN80" s="56"/>
      <c r="BO80" s="56"/>
    </row>
    <row r="81" spans="1:71" s="84" customFormat="1" ht="15" customHeight="1" x14ac:dyDescent="0.35">
      <c r="A81" s="92"/>
      <c r="B81" s="69" t="str">
        <f>'Popis del_fasada'!B85</f>
        <v>ZIDARSKA DELA</v>
      </c>
      <c r="C81" s="72"/>
      <c r="D81" s="56"/>
      <c r="E81" s="159"/>
      <c r="F81" s="56"/>
      <c r="G81" s="56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56"/>
      <c r="U81" s="72"/>
      <c r="V81" s="72"/>
      <c r="W81" s="72"/>
      <c r="X81" s="72"/>
      <c r="Y81" s="56"/>
      <c r="Z81" s="72"/>
      <c r="AA81" s="72"/>
      <c r="AB81" s="72"/>
      <c r="AC81" s="56"/>
      <c r="AD81" s="56"/>
      <c r="AE81" s="56"/>
      <c r="AF81" s="56"/>
      <c r="AG81" s="56"/>
      <c r="AI81" s="56"/>
      <c r="AJ81" s="72"/>
      <c r="AK81" s="72"/>
      <c r="AL81" s="72"/>
      <c r="AM81" s="56"/>
      <c r="AN81" s="72"/>
      <c r="AO81" s="72"/>
      <c r="AP81" s="72"/>
      <c r="AQ81" s="72"/>
      <c r="AR81" s="72"/>
      <c r="AS81" s="72"/>
      <c r="AT81" s="56"/>
      <c r="AU81" s="72"/>
      <c r="AV81" s="72"/>
      <c r="AW81" s="72"/>
      <c r="AX81" s="72"/>
      <c r="AY81" s="72"/>
      <c r="AZ81" s="72"/>
      <c r="BA81" s="72"/>
      <c r="BB81" s="72"/>
      <c r="BC81" s="72"/>
      <c r="BD81" s="72"/>
      <c r="BE81" s="72"/>
      <c r="BF81" s="72"/>
      <c r="BG81" s="56"/>
      <c r="BH81" s="99"/>
      <c r="BI81" s="99"/>
      <c r="BJ81" s="99"/>
      <c r="BK81" s="99"/>
      <c r="BM81" s="56"/>
      <c r="BN81" s="56"/>
      <c r="BO81" s="56"/>
    </row>
    <row r="82" spans="1:71" s="84" customFormat="1" ht="15" customHeight="1" x14ac:dyDescent="0.35">
      <c r="A82" s="92">
        <f>'Popis del_fasada'!A87</f>
        <v>1</v>
      </c>
      <c r="B82" s="69" t="s">
        <v>160</v>
      </c>
      <c r="C82" s="56">
        <v>3.24</v>
      </c>
      <c r="D82" s="56">
        <f>1.75</f>
        <v>1.75</v>
      </c>
      <c r="E82" s="159">
        <v>0.2</v>
      </c>
      <c r="F82" s="56"/>
      <c r="G82" s="56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56"/>
      <c r="U82" s="72"/>
      <c r="V82" s="72"/>
      <c r="W82" s="72"/>
      <c r="X82" s="72"/>
      <c r="Y82" s="56"/>
      <c r="Z82" s="72"/>
      <c r="AA82" s="72"/>
      <c r="AB82" s="72"/>
      <c r="AC82" s="56"/>
      <c r="AD82" s="56"/>
      <c r="AE82" s="56">
        <f>C82*D82*E82</f>
        <v>1.1340000000000001</v>
      </c>
      <c r="AF82" s="56"/>
      <c r="AG82" s="56"/>
      <c r="AI82" s="56"/>
      <c r="AJ82" s="72"/>
      <c r="AK82" s="72"/>
      <c r="AL82" s="72"/>
      <c r="AM82" s="56"/>
      <c r="AN82" s="72"/>
      <c r="AO82" s="72"/>
      <c r="AP82" s="72"/>
      <c r="AQ82" s="72"/>
      <c r="AR82" s="72"/>
      <c r="AS82" s="72"/>
      <c r="AT82" s="56"/>
      <c r="AU82" s="72"/>
      <c r="AV82" s="72"/>
      <c r="AW82" s="72"/>
      <c r="AX82" s="72"/>
      <c r="AY82" s="72"/>
      <c r="AZ82" s="72"/>
      <c r="BA82" s="72"/>
      <c r="BB82" s="72"/>
      <c r="BC82" s="72"/>
      <c r="BD82" s="72"/>
      <c r="BE82" s="72"/>
      <c r="BF82" s="72"/>
      <c r="BG82" s="56"/>
      <c r="BH82" s="99"/>
      <c r="BI82" s="99"/>
      <c r="BJ82" s="99"/>
      <c r="BK82" s="99"/>
      <c r="BM82" s="56"/>
      <c r="BN82" s="56"/>
      <c r="BO82" s="56"/>
    </row>
    <row r="83" spans="1:71" s="84" customFormat="1" ht="15" customHeight="1" x14ac:dyDescent="0.35">
      <c r="A83" s="92"/>
      <c r="B83" s="69"/>
      <c r="C83" s="56">
        <f>2.42+1.98</f>
        <v>4.4000000000000004</v>
      </c>
      <c r="D83" s="56">
        <f>1.45</f>
        <v>1.45</v>
      </c>
      <c r="E83" s="159">
        <v>0.2</v>
      </c>
      <c r="F83" s="56"/>
      <c r="G83" s="56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56"/>
      <c r="U83" s="72"/>
      <c r="V83" s="72"/>
      <c r="W83" s="72"/>
      <c r="X83" s="72"/>
      <c r="Y83" s="56"/>
      <c r="Z83" s="72"/>
      <c r="AA83" s="72"/>
      <c r="AB83" s="72"/>
      <c r="AC83" s="56"/>
      <c r="AD83" s="56"/>
      <c r="AE83" s="56">
        <f>C83*D83*E83</f>
        <v>1.276</v>
      </c>
      <c r="AF83" s="56"/>
      <c r="AG83" s="56"/>
      <c r="AI83" s="56"/>
      <c r="AJ83" s="72"/>
      <c r="AK83" s="72"/>
      <c r="AL83" s="72"/>
      <c r="AM83" s="56"/>
      <c r="AN83" s="72"/>
      <c r="AO83" s="72"/>
      <c r="AP83" s="72"/>
      <c r="AQ83" s="72"/>
      <c r="AR83" s="72"/>
      <c r="AS83" s="72"/>
      <c r="AT83" s="56"/>
      <c r="AU83" s="72"/>
      <c r="AV83" s="72"/>
      <c r="AW83" s="72"/>
      <c r="AX83" s="72"/>
      <c r="AY83" s="72"/>
      <c r="AZ83" s="72"/>
      <c r="BA83" s="72"/>
      <c r="BB83" s="72"/>
      <c r="BC83" s="72"/>
      <c r="BD83" s="72"/>
      <c r="BE83" s="72"/>
      <c r="BF83" s="72"/>
      <c r="BG83" s="56"/>
      <c r="BH83" s="99"/>
      <c r="BI83" s="99"/>
      <c r="BJ83" s="99"/>
      <c r="BK83" s="99"/>
      <c r="BM83" s="56"/>
      <c r="BN83" s="56"/>
      <c r="BO83" s="56"/>
    </row>
    <row r="84" spans="1:71" s="84" customFormat="1" ht="15" customHeight="1" x14ac:dyDescent="0.35">
      <c r="A84" s="92">
        <f>'Popis del_fasada'!A89</f>
        <v>2</v>
      </c>
      <c r="B84" s="70" t="s">
        <v>57</v>
      </c>
      <c r="C84" s="56"/>
      <c r="E84" s="56"/>
      <c r="F84" s="56"/>
      <c r="G84" s="56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72"/>
      <c r="S84" s="72"/>
      <c r="T84" s="56"/>
      <c r="U84" s="72"/>
      <c r="V84" s="72"/>
      <c r="W84" s="72"/>
      <c r="X84" s="72"/>
      <c r="Y84" s="56"/>
      <c r="Z84" s="72"/>
      <c r="AA84" s="72"/>
      <c r="AB84" s="72"/>
      <c r="AC84" s="56"/>
      <c r="AD84" s="56"/>
      <c r="AE84" s="56"/>
      <c r="AF84" s="56"/>
      <c r="AG84" s="56"/>
      <c r="AI84" s="56"/>
      <c r="AJ84" s="72"/>
      <c r="AK84" s="72"/>
      <c r="AL84" s="72"/>
      <c r="AM84" s="56"/>
      <c r="AN84" s="72"/>
      <c r="AO84" s="72"/>
      <c r="AP84" s="72"/>
      <c r="AQ84" s="72"/>
      <c r="AR84" s="72"/>
      <c r="AS84" s="72"/>
      <c r="AT84" s="56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56"/>
      <c r="BI84" s="99"/>
      <c r="BJ84" s="99"/>
      <c r="BK84" s="99"/>
      <c r="BM84" s="56"/>
      <c r="BN84" s="56"/>
      <c r="BO84" s="56"/>
    </row>
    <row r="85" spans="1:71" s="84" customFormat="1" ht="15" customHeight="1" x14ac:dyDescent="0.35">
      <c r="A85" s="92"/>
      <c r="B85" s="69"/>
      <c r="C85" s="56">
        <v>10.57</v>
      </c>
      <c r="D85" s="56">
        <v>8.48</v>
      </c>
      <c r="E85" s="56"/>
      <c r="F85" s="56"/>
      <c r="G85" s="56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56"/>
      <c r="U85" s="72"/>
      <c r="V85" s="72"/>
      <c r="W85" s="72"/>
      <c r="X85" s="72"/>
      <c r="Y85" s="56"/>
      <c r="Z85" s="72">
        <f>C85*D85</f>
        <v>89.633600000000001</v>
      </c>
      <c r="AA85" s="72"/>
      <c r="AB85" s="72"/>
      <c r="AC85" s="56"/>
      <c r="AD85" s="56"/>
      <c r="AE85" s="56"/>
      <c r="AF85" s="56"/>
      <c r="AG85" s="56"/>
      <c r="AI85" s="56"/>
      <c r="AJ85" s="72"/>
      <c r="AK85" s="72"/>
      <c r="AL85" s="72"/>
      <c r="AM85" s="56"/>
      <c r="AN85" s="72"/>
      <c r="AO85" s="72"/>
      <c r="AP85" s="72"/>
      <c r="AQ85" s="72"/>
      <c r="AR85" s="72"/>
      <c r="AS85" s="72"/>
      <c r="AT85" s="56"/>
      <c r="AU85" s="72"/>
      <c r="AV85" s="72"/>
      <c r="AW85" s="72"/>
      <c r="AX85" s="72"/>
      <c r="AY85" s="72"/>
      <c r="AZ85" s="72"/>
      <c r="BA85" s="72"/>
      <c r="BB85" s="72"/>
      <c r="BC85" s="72"/>
      <c r="BD85" s="72"/>
      <c r="BE85" s="72"/>
      <c r="BF85" s="72"/>
      <c r="BG85" s="56"/>
      <c r="BH85" s="89"/>
      <c r="BI85" s="99"/>
      <c r="BJ85" s="99"/>
      <c r="BK85" s="99"/>
      <c r="BM85" s="56"/>
      <c r="BN85" s="56"/>
      <c r="BO85" s="56"/>
      <c r="BQ85" s="99"/>
      <c r="BR85" s="99"/>
      <c r="BS85" s="99"/>
    </row>
    <row r="86" spans="1:71" s="84" customFormat="1" ht="15" customHeight="1" x14ac:dyDescent="0.35">
      <c r="A86" s="92">
        <f>'Popis del_fasada'!A91</f>
        <v>3</v>
      </c>
      <c r="B86" s="69" t="s">
        <v>104</v>
      </c>
      <c r="C86" s="56">
        <f>3.91+0.5+1.75</f>
        <v>6.16</v>
      </c>
      <c r="D86" s="56">
        <v>0.6</v>
      </c>
      <c r="E86" s="56"/>
      <c r="F86" s="56"/>
      <c r="G86" s="56"/>
      <c r="H86" s="72"/>
      <c r="I86" s="72"/>
      <c r="J86" s="72"/>
      <c r="K86" s="72"/>
      <c r="L86" s="72"/>
      <c r="M86" s="72"/>
      <c r="N86" s="72"/>
      <c r="O86" s="72"/>
      <c r="P86" s="72"/>
      <c r="Q86" s="72"/>
      <c r="R86" s="72"/>
      <c r="S86" s="72"/>
      <c r="T86" s="56"/>
      <c r="U86" s="72"/>
      <c r="V86" s="72"/>
      <c r="W86" s="72"/>
      <c r="X86" s="72"/>
      <c r="Y86" s="56"/>
      <c r="Z86" s="72"/>
      <c r="AA86" s="72">
        <f>C86*D86</f>
        <v>3.6959999999999997</v>
      </c>
      <c r="AB86" s="72"/>
      <c r="AC86" s="56"/>
      <c r="AD86" s="56"/>
      <c r="AE86" s="56"/>
      <c r="AF86" s="56"/>
      <c r="AG86" s="56"/>
      <c r="AI86" s="56"/>
      <c r="AJ86" s="72"/>
      <c r="AK86" s="72"/>
      <c r="AL86" s="72"/>
      <c r="AM86" s="56"/>
      <c r="AN86" s="72"/>
      <c r="AO86" s="72"/>
      <c r="AP86" s="72"/>
      <c r="AQ86" s="72"/>
      <c r="AR86" s="72"/>
      <c r="AS86" s="72"/>
      <c r="AT86" s="56"/>
      <c r="AU86" s="72"/>
      <c r="AV86" s="72"/>
      <c r="AW86" s="72"/>
      <c r="AX86" s="72"/>
      <c r="AY86" s="72"/>
      <c r="AZ86" s="72"/>
      <c r="BA86" s="72"/>
      <c r="BB86" s="72"/>
      <c r="BC86" s="72"/>
      <c r="BD86" s="72"/>
      <c r="BE86" s="72"/>
      <c r="BF86" s="72"/>
      <c r="BG86" s="56"/>
      <c r="BH86" s="99"/>
      <c r="BI86" s="99"/>
      <c r="BJ86" s="99"/>
      <c r="BK86" s="99"/>
      <c r="BM86" s="56"/>
      <c r="BN86" s="56"/>
      <c r="BO86" s="56"/>
      <c r="BQ86" s="99"/>
      <c r="BR86" s="99"/>
      <c r="BS86" s="99"/>
    </row>
    <row r="87" spans="1:71" s="84" customFormat="1" ht="15" customHeight="1" x14ac:dyDescent="0.35">
      <c r="A87" s="92">
        <f>'Popis del_fasada'!A93</f>
        <v>4</v>
      </c>
      <c r="B87" s="69" t="s">
        <v>195</v>
      </c>
      <c r="C87" s="56">
        <v>3.24</v>
      </c>
      <c r="D87" s="56">
        <f>1.75+0.3</f>
        <v>2.0499999999999998</v>
      </c>
      <c r="E87" s="56"/>
      <c r="F87" s="56"/>
      <c r="G87" s="56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56"/>
      <c r="U87" s="72"/>
      <c r="V87" s="72"/>
      <c r="W87" s="72"/>
      <c r="X87" s="72"/>
      <c r="Y87" s="56"/>
      <c r="Z87" s="72"/>
      <c r="AA87" s="72"/>
      <c r="AB87" s="72">
        <f>C87*D87</f>
        <v>6.6419999999999995</v>
      </c>
      <c r="AC87" s="56"/>
      <c r="AD87" s="56"/>
      <c r="AE87" s="56"/>
      <c r="AF87" s="56"/>
      <c r="AG87" s="56"/>
      <c r="AI87" s="56"/>
      <c r="AJ87" s="72"/>
      <c r="AK87" s="72"/>
      <c r="AL87" s="72"/>
      <c r="AM87" s="56"/>
      <c r="AN87" s="72"/>
      <c r="AO87" s="72"/>
      <c r="AP87" s="72"/>
      <c r="AQ87" s="72"/>
      <c r="AR87" s="72"/>
      <c r="AS87" s="72"/>
      <c r="AT87" s="56"/>
      <c r="AU87" s="72"/>
      <c r="AV87" s="72"/>
      <c r="AW87" s="72"/>
      <c r="AX87" s="72"/>
      <c r="AY87" s="72"/>
      <c r="AZ87" s="72"/>
      <c r="BA87" s="72"/>
      <c r="BB87" s="72"/>
      <c r="BC87" s="72"/>
      <c r="BD87" s="72"/>
      <c r="BE87" s="72"/>
      <c r="BF87" s="72"/>
      <c r="BG87" s="56"/>
      <c r="BH87" s="99"/>
      <c r="BI87" s="99"/>
      <c r="BJ87" s="99"/>
      <c r="BK87" s="99"/>
      <c r="BM87" s="56"/>
      <c r="BN87" s="56"/>
      <c r="BO87" s="56"/>
      <c r="BQ87" s="99"/>
      <c r="BR87" s="99"/>
      <c r="BS87" s="99"/>
    </row>
    <row r="88" spans="1:71" s="84" customFormat="1" ht="15" customHeight="1" x14ac:dyDescent="0.35">
      <c r="A88" s="92"/>
      <c r="B88" s="69" t="s">
        <v>156</v>
      </c>
      <c r="C88" s="56">
        <f>2.42+1.98</f>
        <v>4.4000000000000004</v>
      </c>
      <c r="D88" s="56">
        <f>1.45+0.3</f>
        <v>1.75</v>
      </c>
      <c r="E88" s="56"/>
      <c r="F88" s="56"/>
      <c r="G88" s="56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56"/>
      <c r="U88" s="72"/>
      <c r="V88" s="72"/>
      <c r="W88" s="72"/>
      <c r="X88" s="72"/>
      <c r="Y88" s="56"/>
      <c r="Z88" s="72"/>
      <c r="AA88" s="72"/>
      <c r="AB88" s="72">
        <f>C88*D88</f>
        <v>7.7000000000000011</v>
      </c>
      <c r="AC88" s="56"/>
      <c r="AD88" s="56"/>
      <c r="AE88" s="56"/>
      <c r="AF88" s="56"/>
      <c r="AG88" s="56"/>
      <c r="AI88" s="56"/>
      <c r="AJ88" s="72"/>
      <c r="AK88" s="72"/>
      <c r="AL88" s="72"/>
      <c r="AM88" s="56"/>
      <c r="AN88" s="72"/>
      <c r="AO88" s="72"/>
      <c r="AP88" s="72"/>
      <c r="AQ88" s="72"/>
      <c r="AR88" s="72"/>
      <c r="AS88" s="72"/>
      <c r="AT88" s="56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56"/>
      <c r="BH88" s="99"/>
      <c r="BI88" s="99"/>
      <c r="BJ88" s="99"/>
      <c r="BK88" s="99"/>
      <c r="BM88" s="56"/>
      <c r="BN88" s="56"/>
      <c r="BO88" s="56"/>
      <c r="BQ88" s="99"/>
      <c r="BR88" s="99"/>
      <c r="BS88" s="99"/>
    </row>
    <row r="89" spans="1:71" s="84" customFormat="1" ht="15" customHeight="1" x14ac:dyDescent="0.35">
      <c r="A89" s="92"/>
      <c r="B89" s="69" t="s">
        <v>194</v>
      </c>
      <c r="C89" s="56">
        <f>3.24</f>
        <v>3.24</v>
      </c>
      <c r="D89" s="56">
        <f>1.8+0.3</f>
        <v>2.1</v>
      </c>
      <c r="E89" s="56"/>
      <c r="F89" s="56"/>
      <c r="G89" s="56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56"/>
      <c r="U89" s="72"/>
      <c r="V89" s="72"/>
      <c r="W89" s="72"/>
      <c r="X89" s="72"/>
      <c r="Y89" s="56"/>
      <c r="Z89" s="72"/>
      <c r="AA89" s="72"/>
      <c r="AB89" s="72">
        <f>C89*D89</f>
        <v>6.8040000000000012</v>
      </c>
      <c r="AC89" s="56"/>
      <c r="AD89" s="56"/>
      <c r="AE89" s="56"/>
      <c r="AF89" s="56"/>
      <c r="AG89" s="56"/>
      <c r="AI89" s="56"/>
      <c r="AJ89" s="72"/>
      <c r="AK89" s="72"/>
      <c r="AL89" s="72"/>
      <c r="AM89" s="56"/>
      <c r="AN89" s="72"/>
      <c r="AO89" s="72"/>
      <c r="AP89" s="72"/>
      <c r="AQ89" s="72"/>
      <c r="AR89" s="72"/>
      <c r="AS89" s="72"/>
      <c r="AT89" s="56"/>
      <c r="AU89" s="72"/>
      <c r="AV89" s="72"/>
      <c r="AW89" s="72"/>
      <c r="AX89" s="72"/>
      <c r="AY89" s="72"/>
      <c r="AZ89" s="72"/>
      <c r="BA89" s="72"/>
      <c r="BB89" s="72"/>
      <c r="BC89" s="72"/>
      <c r="BD89" s="72"/>
      <c r="BE89" s="72"/>
      <c r="BF89" s="72"/>
      <c r="BG89" s="56"/>
      <c r="BH89" s="99"/>
      <c r="BI89" s="99"/>
      <c r="BJ89" s="99"/>
      <c r="BK89" s="99"/>
      <c r="BM89" s="56"/>
      <c r="BN89" s="56"/>
      <c r="BO89" s="56"/>
      <c r="BQ89" s="99"/>
      <c r="BR89" s="99"/>
      <c r="BS89" s="99"/>
    </row>
    <row r="90" spans="1:71" s="84" customFormat="1" ht="15" customHeight="1" x14ac:dyDescent="0.35">
      <c r="A90" s="92">
        <f>'Popis del_fasada'!A95</f>
        <v>5</v>
      </c>
      <c r="B90" s="69" t="s">
        <v>108</v>
      </c>
      <c r="C90" s="56"/>
      <c r="D90" s="56"/>
      <c r="E90" s="56"/>
      <c r="F90" s="56"/>
      <c r="G90" s="56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56"/>
      <c r="U90" s="72"/>
      <c r="V90" s="72"/>
      <c r="W90" s="72"/>
      <c r="X90" s="72"/>
      <c r="Y90" s="56"/>
      <c r="Z90" s="72"/>
      <c r="AA90" s="72"/>
      <c r="AB90" s="72"/>
      <c r="AC90" s="56"/>
      <c r="AD90" s="56"/>
      <c r="AE90" s="56"/>
      <c r="AF90" s="56"/>
      <c r="AG90" s="56"/>
      <c r="AI90" s="56"/>
      <c r="AJ90" s="72"/>
      <c r="AK90" s="72"/>
      <c r="AL90" s="72"/>
      <c r="AM90" s="56"/>
      <c r="AN90" s="72"/>
      <c r="AO90" s="72"/>
      <c r="AP90" s="72"/>
      <c r="AQ90" s="72"/>
      <c r="AR90" s="72"/>
      <c r="AS90" s="72"/>
      <c r="AT90" s="56"/>
      <c r="AU90" s="72"/>
      <c r="AV90" s="72"/>
      <c r="AW90" s="72"/>
      <c r="AX90" s="72"/>
      <c r="AY90" s="72"/>
      <c r="AZ90" s="72"/>
      <c r="BA90" s="72"/>
      <c r="BB90" s="72"/>
      <c r="BC90" s="72"/>
      <c r="BD90" s="72"/>
      <c r="BE90" s="72"/>
      <c r="BF90" s="72"/>
      <c r="BG90" s="56"/>
      <c r="BH90" s="99"/>
      <c r="BI90" s="99"/>
      <c r="BJ90" s="99"/>
      <c r="BK90" s="99"/>
      <c r="BM90" s="56"/>
      <c r="BN90" s="56"/>
      <c r="BO90" s="56"/>
      <c r="BQ90" s="99"/>
      <c r="BR90" s="99"/>
      <c r="BS90" s="99"/>
    </row>
    <row r="91" spans="1:71" s="84" customFormat="1" ht="15" customHeight="1" x14ac:dyDescent="0.45">
      <c r="A91" s="92"/>
      <c r="B91" s="56" t="s">
        <v>220</v>
      </c>
      <c r="C91" s="72">
        <v>1.5</v>
      </c>
      <c r="D91" s="72">
        <v>1.55</v>
      </c>
      <c r="E91" s="56">
        <v>1</v>
      </c>
      <c r="F91" s="56"/>
      <c r="G91" s="56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56"/>
      <c r="U91" s="72"/>
      <c r="V91" s="72"/>
      <c r="W91" s="72"/>
      <c r="X91" s="72"/>
      <c r="Y91" s="56"/>
      <c r="Z91" s="72"/>
      <c r="AA91" s="72"/>
      <c r="AB91" s="72"/>
      <c r="AC91" s="56">
        <f t="shared" ref="AC91:AC95" si="5">(0.05+C91+0.05)*E91</f>
        <v>1.6</v>
      </c>
      <c r="AD91" s="56"/>
      <c r="AE91" s="56"/>
      <c r="AF91" s="56"/>
      <c r="AG91" s="56"/>
      <c r="AI91" s="56"/>
      <c r="AJ91" s="72"/>
      <c r="AK91" s="72"/>
      <c r="AL91" s="72"/>
      <c r="AM91" s="56"/>
      <c r="AN91" s="72"/>
      <c r="AO91" s="72">
        <f>-C91*D91*E91</f>
        <v>-2.3250000000000002</v>
      </c>
      <c r="AP91" s="72"/>
      <c r="AQ91" s="72"/>
      <c r="AR91" s="72"/>
      <c r="AS91" s="72"/>
      <c r="AT91" s="56"/>
      <c r="AU91" s="72"/>
      <c r="AV91" s="72"/>
      <c r="AW91" s="72"/>
      <c r="AX91" s="72"/>
      <c r="AY91" s="72"/>
      <c r="AZ91" s="72"/>
      <c r="BA91" s="72"/>
      <c r="BB91" s="72"/>
      <c r="BC91" s="72"/>
      <c r="BD91" s="72"/>
      <c r="BE91" s="72"/>
      <c r="BF91" s="72"/>
      <c r="BG91" s="56"/>
      <c r="BH91" s="99"/>
      <c r="BI91" s="99"/>
      <c r="BJ91" s="99"/>
      <c r="BK91" s="99"/>
      <c r="BM91" s="56"/>
      <c r="BN91" s="56"/>
      <c r="BO91" s="56"/>
      <c r="BQ91" s="99"/>
      <c r="BR91" s="99"/>
      <c r="BS91" s="99"/>
    </row>
    <row r="92" spans="1:71" s="84" customFormat="1" ht="15" customHeight="1" x14ac:dyDescent="0.45">
      <c r="A92" s="92"/>
      <c r="B92" s="56" t="s">
        <v>221</v>
      </c>
      <c r="C92" s="72">
        <v>0.82</v>
      </c>
      <c r="D92" s="72">
        <v>0.81</v>
      </c>
      <c r="E92" s="56">
        <v>1</v>
      </c>
      <c r="F92" s="56"/>
      <c r="G92" s="56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56"/>
      <c r="U92" s="72"/>
      <c r="V92" s="72"/>
      <c r="W92" s="72"/>
      <c r="X92" s="72"/>
      <c r="Y92" s="56"/>
      <c r="Z92" s="72"/>
      <c r="AA92" s="72"/>
      <c r="AB92" s="72"/>
      <c r="AC92" s="56">
        <f t="shared" si="5"/>
        <v>0.92</v>
      </c>
      <c r="AD92" s="56"/>
      <c r="AE92" s="56"/>
      <c r="AF92" s="56"/>
      <c r="AG92" s="56"/>
      <c r="AI92" s="56"/>
      <c r="AJ92" s="72"/>
      <c r="AK92" s="72"/>
      <c r="AL92" s="72"/>
      <c r="AM92" s="56"/>
      <c r="AN92" s="72"/>
      <c r="AO92" s="72"/>
      <c r="AP92" s="72"/>
      <c r="AQ92" s="72"/>
      <c r="AR92" s="72"/>
      <c r="AS92" s="72"/>
      <c r="AT92" s="56"/>
      <c r="AU92" s="72"/>
      <c r="AV92" s="72"/>
      <c r="AW92" s="72"/>
      <c r="AX92" s="72"/>
      <c r="AY92" s="72"/>
      <c r="AZ92" s="72"/>
      <c r="BA92" s="72"/>
      <c r="BB92" s="72"/>
      <c r="BC92" s="72"/>
      <c r="BD92" s="72"/>
      <c r="BE92" s="72"/>
      <c r="BF92" s="72"/>
      <c r="BG92" s="56"/>
      <c r="BH92" s="99"/>
      <c r="BI92" s="99"/>
      <c r="BJ92" s="99"/>
      <c r="BK92" s="99"/>
      <c r="BM92" s="56"/>
      <c r="BN92" s="56"/>
      <c r="BO92" s="56"/>
      <c r="BQ92" s="99"/>
      <c r="BR92" s="99"/>
      <c r="BS92" s="99"/>
    </row>
    <row r="93" spans="1:71" s="84" customFormat="1" ht="15" customHeight="1" x14ac:dyDescent="0.45">
      <c r="A93" s="92"/>
      <c r="B93" s="56" t="s">
        <v>222</v>
      </c>
      <c r="C93" s="72">
        <v>0.63</v>
      </c>
      <c r="D93" s="72">
        <v>0.64</v>
      </c>
      <c r="E93" s="56">
        <v>1</v>
      </c>
      <c r="F93" s="56"/>
      <c r="G93" s="56"/>
      <c r="H93" s="72"/>
      <c r="I93" s="72"/>
      <c r="J93" s="72"/>
      <c r="K93" s="72"/>
      <c r="L93" s="72"/>
      <c r="M93" s="72"/>
      <c r="N93" s="72"/>
      <c r="O93" s="72"/>
      <c r="P93" s="72"/>
      <c r="Q93" s="72"/>
      <c r="R93" s="72"/>
      <c r="S93" s="72"/>
      <c r="T93" s="56"/>
      <c r="U93" s="72"/>
      <c r="V93" s="72"/>
      <c r="W93" s="72"/>
      <c r="X93" s="72"/>
      <c r="Y93" s="56"/>
      <c r="Z93" s="72"/>
      <c r="AA93" s="72"/>
      <c r="AB93" s="72"/>
      <c r="AC93" s="56">
        <f t="shared" si="5"/>
        <v>0.73000000000000009</v>
      </c>
      <c r="AD93" s="56"/>
      <c r="AE93" s="56"/>
      <c r="AF93" s="56"/>
      <c r="AG93" s="56"/>
      <c r="AI93" s="56"/>
      <c r="AJ93" s="72"/>
      <c r="AK93" s="72"/>
      <c r="AL93" s="72"/>
      <c r="AM93" s="56"/>
      <c r="AN93" s="72"/>
      <c r="AO93" s="72"/>
      <c r="AP93" s="72"/>
      <c r="AQ93" s="72"/>
      <c r="AR93" s="72"/>
      <c r="AS93" s="72"/>
      <c r="AT93" s="56"/>
      <c r="AU93" s="72"/>
      <c r="AV93" s="72"/>
      <c r="AW93" s="72"/>
      <c r="AX93" s="72"/>
      <c r="AY93" s="72"/>
      <c r="AZ93" s="72"/>
      <c r="BA93" s="72"/>
      <c r="BB93" s="72"/>
      <c r="BC93" s="72"/>
      <c r="BD93" s="72"/>
      <c r="BE93" s="72"/>
      <c r="BF93" s="72"/>
      <c r="BG93" s="56"/>
      <c r="BH93" s="99"/>
      <c r="BI93" s="99"/>
      <c r="BJ93" s="99"/>
      <c r="BK93" s="99"/>
      <c r="BM93" s="56"/>
      <c r="BN93" s="56"/>
      <c r="BO93" s="56"/>
      <c r="BQ93" s="99"/>
      <c r="BR93" s="99"/>
      <c r="BS93" s="99"/>
    </row>
    <row r="94" spans="1:71" s="84" customFormat="1" ht="15" customHeight="1" x14ac:dyDescent="0.45">
      <c r="A94" s="92"/>
      <c r="B94" s="56" t="s">
        <v>223</v>
      </c>
      <c r="C94" s="72">
        <v>0.6</v>
      </c>
      <c r="D94" s="72">
        <v>0.65</v>
      </c>
      <c r="E94" s="56">
        <v>1</v>
      </c>
      <c r="F94" s="56"/>
      <c r="G94" s="56"/>
      <c r="H94" s="72"/>
      <c r="I94" s="72"/>
      <c r="J94" s="72"/>
      <c r="K94" s="72"/>
      <c r="L94" s="72"/>
      <c r="M94" s="72"/>
      <c r="N94" s="72"/>
      <c r="O94" s="72"/>
      <c r="P94" s="72"/>
      <c r="Q94" s="72"/>
      <c r="R94" s="72"/>
      <c r="S94" s="72"/>
      <c r="T94" s="56"/>
      <c r="U94" s="72"/>
      <c r="V94" s="72"/>
      <c r="W94" s="72"/>
      <c r="X94" s="72"/>
      <c r="Y94" s="56"/>
      <c r="Z94" s="72"/>
      <c r="AA94" s="72"/>
      <c r="AB94" s="72"/>
      <c r="AC94" s="56">
        <f t="shared" si="5"/>
        <v>0.70000000000000007</v>
      </c>
      <c r="AD94" s="56"/>
      <c r="AE94" s="56"/>
      <c r="AF94" s="56"/>
      <c r="AG94" s="56"/>
      <c r="AI94" s="56"/>
      <c r="AJ94" s="72"/>
      <c r="AK94" s="72"/>
      <c r="AL94" s="72"/>
      <c r="AM94" s="56"/>
      <c r="AN94" s="72"/>
      <c r="AO94" s="72"/>
      <c r="AP94" s="72"/>
      <c r="AQ94" s="72"/>
      <c r="AR94" s="72"/>
      <c r="AS94" s="72"/>
      <c r="AT94" s="56"/>
      <c r="AU94" s="72"/>
      <c r="AV94" s="72"/>
      <c r="AW94" s="72"/>
      <c r="AX94" s="72"/>
      <c r="AY94" s="72"/>
      <c r="AZ94" s="72"/>
      <c r="BA94" s="72"/>
      <c r="BB94" s="72"/>
      <c r="BC94" s="72"/>
      <c r="BD94" s="72"/>
      <c r="BE94" s="72"/>
      <c r="BF94" s="72"/>
      <c r="BG94" s="56"/>
      <c r="BH94" s="99"/>
      <c r="BI94" s="99"/>
      <c r="BJ94" s="99"/>
      <c r="BK94" s="99"/>
      <c r="BM94" s="56"/>
      <c r="BN94" s="56"/>
      <c r="BO94" s="56"/>
      <c r="BQ94" s="99"/>
      <c r="BR94" s="99"/>
      <c r="BS94" s="99"/>
    </row>
    <row r="95" spans="1:71" s="84" customFormat="1" ht="15" customHeight="1" x14ac:dyDescent="0.45">
      <c r="A95" s="92"/>
      <c r="B95" s="56" t="s">
        <v>224</v>
      </c>
      <c r="C95" s="72">
        <v>0.66</v>
      </c>
      <c r="D95" s="72">
        <v>0.61</v>
      </c>
      <c r="E95" s="56">
        <v>1</v>
      </c>
      <c r="F95" s="56"/>
      <c r="G95" s="56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56"/>
      <c r="U95" s="72"/>
      <c r="V95" s="72"/>
      <c r="W95" s="72"/>
      <c r="X95" s="72"/>
      <c r="Y95" s="56"/>
      <c r="Z95" s="72"/>
      <c r="AA95" s="72"/>
      <c r="AB95" s="72"/>
      <c r="AC95" s="56">
        <f t="shared" si="5"/>
        <v>0.76000000000000012</v>
      </c>
      <c r="AD95" s="56"/>
      <c r="AE95" s="56"/>
      <c r="AF95" s="56"/>
      <c r="AG95" s="56"/>
      <c r="AI95" s="56"/>
      <c r="AJ95" s="72"/>
      <c r="AK95" s="72"/>
      <c r="AL95" s="72"/>
      <c r="AM95" s="56"/>
      <c r="AN95" s="72"/>
      <c r="AO95" s="72"/>
      <c r="AP95" s="72"/>
      <c r="AQ95" s="72"/>
      <c r="AR95" s="72"/>
      <c r="AS95" s="72"/>
      <c r="AT95" s="56"/>
      <c r="AU95" s="72"/>
      <c r="AV95" s="72"/>
      <c r="AW95" s="72"/>
      <c r="AX95" s="72"/>
      <c r="AY95" s="72"/>
      <c r="AZ95" s="72"/>
      <c r="BA95" s="72"/>
      <c r="BB95" s="72"/>
      <c r="BC95" s="72"/>
      <c r="BD95" s="72"/>
      <c r="BE95" s="72"/>
      <c r="BF95" s="72"/>
      <c r="BG95" s="56"/>
      <c r="BH95" s="99"/>
      <c r="BI95" s="99"/>
      <c r="BJ95" s="99"/>
      <c r="BK95" s="99"/>
      <c r="BM95" s="56"/>
      <c r="BN95" s="56"/>
      <c r="BO95" s="56"/>
      <c r="BQ95" s="99"/>
      <c r="BR95" s="99"/>
      <c r="BS95" s="99"/>
    </row>
    <row r="96" spans="1:71" s="84" customFormat="1" ht="15" customHeight="1" x14ac:dyDescent="0.35">
      <c r="A96" s="92">
        <f>'Popis del_fasada'!A97</f>
        <v>6</v>
      </c>
      <c r="B96" s="69" t="s">
        <v>162</v>
      </c>
      <c r="C96" s="56"/>
      <c r="D96" s="56"/>
      <c r="E96" s="56"/>
      <c r="F96" s="56"/>
      <c r="G96" s="56"/>
      <c r="H96" s="72"/>
      <c r="I96" s="72"/>
      <c r="J96" s="72"/>
      <c r="K96" s="72"/>
      <c r="L96" s="72"/>
      <c r="M96" s="72"/>
      <c r="N96" s="72"/>
      <c r="O96" s="72"/>
      <c r="P96" s="72"/>
      <c r="Q96" s="72"/>
      <c r="R96" s="72"/>
      <c r="S96" s="72"/>
      <c r="T96" s="56"/>
      <c r="U96" s="72"/>
      <c r="V96" s="72"/>
      <c r="W96" s="72"/>
      <c r="X96" s="72"/>
      <c r="Y96" s="56"/>
      <c r="Z96" s="72"/>
      <c r="AA96" s="72"/>
      <c r="AB96" s="72"/>
      <c r="AC96" s="56"/>
      <c r="AD96" s="56"/>
      <c r="AE96" s="56"/>
      <c r="AF96" s="56"/>
      <c r="AG96" s="56"/>
      <c r="AI96" s="56"/>
      <c r="AJ96" s="72"/>
      <c r="AK96" s="72"/>
      <c r="AL96" s="72"/>
      <c r="AM96" s="56"/>
      <c r="AN96" s="72"/>
      <c r="AO96" s="72"/>
      <c r="AP96" s="72"/>
      <c r="AQ96" s="72"/>
      <c r="AR96" s="72"/>
      <c r="AS96" s="72"/>
      <c r="AT96" s="56"/>
      <c r="AU96" s="72"/>
      <c r="AV96" s="72"/>
      <c r="AW96" s="72"/>
      <c r="AX96" s="72"/>
      <c r="AY96" s="72"/>
      <c r="AZ96" s="72"/>
      <c r="BA96" s="72"/>
      <c r="BB96" s="72"/>
      <c r="BC96" s="72"/>
      <c r="BD96" s="72"/>
      <c r="BE96" s="72"/>
      <c r="BF96" s="72"/>
      <c r="BG96" s="56"/>
      <c r="BH96" s="99"/>
      <c r="BI96" s="99"/>
      <c r="BJ96" s="99"/>
      <c r="BK96" s="99"/>
      <c r="BM96" s="56"/>
      <c r="BN96" s="56"/>
      <c r="BO96" s="56"/>
      <c r="BQ96" s="99"/>
      <c r="BR96" s="99"/>
      <c r="BS96" s="99"/>
    </row>
    <row r="97" spans="1:71" s="84" customFormat="1" ht="15" customHeight="1" x14ac:dyDescent="0.35">
      <c r="A97" s="92"/>
      <c r="B97" s="69" t="s">
        <v>163</v>
      </c>
      <c r="C97" s="56">
        <v>1.76</v>
      </c>
      <c r="D97" s="56">
        <v>0.65</v>
      </c>
      <c r="E97" s="56">
        <v>0.28999999999999998</v>
      </c>
      <c r="F97" s="56"/>
      <c r="G97" s="56"/>
      <c r="H97" s="72"/>
      <c r="I97" s="72"/>
      <c r="J97" s="72"/>
      <c r="K97" s="72"/>
      <c r="L97" s="72"/>
      <c r="M97" s="72"/>
      <c r="N97" s="72"/>
      <c r="O97" s="72">
        <f>C97*D97*0.15</f>
        <v>0.1716</v>
      </c>
      <c r="P97" s="72"/>
      <c r="Q97" s="72"/>
      <c r="R97" s="72"/>
      <c r="S97" s="72"/>
      <c r="T97" s="56"/>
      <c r="U97" s="72"/>
      <c r="V97" s="72"/>
      <c r="W97" s="72"/>
      <c r="X97" s="72"/>
      <c r="Y97" s="56"/>
      <c r="Z97" s="72"/>
      <c r="AA97" s="72"/>
      <c r="AB97" s="72"/>
      <c r="AC97" s="56"/>
      <c r="AD97" s="56"/>
      <c r="AE97" s="56"/>
      <c r="AF97" s="56">
        <f>C97*D97*E97</f>
        <v>0.33176</v>
      </c>
      <c r="AG97" s="56"/>
      <c r="AI97" s="56"/>
      <c r="AJ97" s="72"/>
      <c r="AK97" s="72"/>
      <c r="AL97" s="72"/>
      <c r="AM97" s="56"/>
      <c r="AN97" s="72"/>
      <c r="AO97" s="72"/>
      <c r="AP97" s="72"/>
      <c r="AQ97" s="72"/>
      <c r="AR97" s="72"/>
      <c r="AS97" s="72"/>
      <c r="AT97" s="56"/>
      <c r="AU97" s="72"/>
      <c r="AV97" s="72"/>
      <c r="AW97" s="72"/>
      <c r="AX97" s="72"/>
      <c r="AY97" s="72"/>
      <c r="AZ97" s="72"/>
      <c r="BA97" s="72"/>
      <c r="BB97" s="72"/>
      <c r="BC97" s="72"/>
      <c r="BD97" s="72"/>
      <c r="BE97" s="72"/>
      <c r="BF97" s="72"/>
      <c r="BG97" s="56"/>
      <c r="BH97" s="99"/>
      <c r="BI97" s="99"/>
      <c r="BJ97" s="99"/>
      <c r="BK97" s="99"/>
      <c r="BM97" s="56"/>
      <c r="BN97" s="56"/>
      <c r="BO97" s="56"/>
      <c r="BQ97" s="99"/>
      <c r="BR97" s="99"/>
      <c r="BS97" s="99"/>
    </row>
    <row r="98" spans="1:71" s="84" customFormat="1" ht="15" customHeight="1" x14ac:dyDescent="0.35">
      <c r="A98" s="92">
        <f>'Popis del_fasada'!A99</f>
        <v>7</v>
      </c>
      <c r="B98" s="69" t="s">
        <v>173</v>
      </c>
      <c r="C98" s="56">
        <f>1.75+3.02+0.4</f>
        <v>5.17</v>
      </c>
      <c r="D98" s="56">
        <v>2.1800000000000002</v>
      </c>
      <c r="E98" s="56"/>
      <c r="F98" s="56"/>
      <c r="G98" s="56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56"/>
      <c r="U98" s="72"/>
      <c r="V98" s="72"/>
      <c r="W98" s="72"/>
      <c r="X98" s="72"/>
      <c r="Y98" s="56"/>
      <c r="Z98" s="72"/>
      <c r="AA98" s="72"/>
      <c r="AB98" s="72"/>
      <c r="AC98" s="56"/>
      <c r="AD98" s="56">
        <f>C98*D98</f>
        <v>11.2706</v>
      </c>
      <c r="AE98" s="56"/>
      <c r="AF98" s="56"/>
      <c r="AG98" s="56"/>
      <c r="AI98" s="56"/>
      <c r="AJ98" s="72"/>
      <c r="AK98" s="72"/>
      <c r="AL98" s="72"/>
      <c r="AM98" s="56"/>
      <c r="AN98" s="72"/>
      <c r="AO98" s="72"/>
      <c r="AP98" s="72"/>
      <c r="AQ98" s="72"/>
      <c r="AR98" s="72"/>
      <c r="AS98" s="72"/>
      <c r="AT98" s="56"/>
      <c r="AU98" s="72"/>
      <c r="AV98" s="72"/>
      <c r="AW98" s="72"/>
      <c r="AX98" s="72"/>
      <c r="AY98" s="72"/>
      <c r="AZ98" s="72"/>
      <c r="BA98" s="72"/>
      <c r="BB98" s="72"/>
      <c r="BC98" s="72"/>
      <c r="BD98" s="72"/>
      <c r="BE98" s="72"/>
      <c r="BF98" s="72"/>
      <c r="BG98" s="56"/>
      <c r="BH98" s="99"/>
      <c r="BI98" s="99"/>
      <c r="BJ98" s="99"/>
      <c r="BK98" s="99"/>
      <c r="BM98" s="56"/>
      <c r="BN98" s="56"/>
      <c r="BO98" s="56"/>
      <c r="BQ98" s="99"/>
      <c r="BR98" s="99"/>
      <c r="BS98" s="99"/>
    </row>
    <row r="99" spans="1:71" s="84" customFormat="1" ht="15" customHeight="1" x14ac:dyDescent="0.35">
      <c r="A99" s="92"/>
      <c r="B99" s="69"/>
      <c r="C99" s="56">
        <v>3.66</v>
      </c>
      <c r="D99" s="56">
        <v>2.1800000000000002</v>
      </c>
      <c r="E99" s="56"/>
      <c r="F99" s="56"/>
      <c r="G99" s="56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56"/>
      <c r="U99" s="72"/>
      <c r="V99" s="72"/>
      <c r="W99" s="72"/>
      <c r="X99" s="72"/>
      <c r="Y99" s="56"/>
      <c r="Z99" s="72"/>
      <c r="AA99" s="72"/>
      <c r="AB99" s="72"/>
      <c r="AC99" s="56"/>
      <c r="AD99" s="56">
        <f>(C99*D99)/2</f>
        <v>3.9894000000000003</v>
      </c>
      <c r="AE99" s="56"/>
      <c r="AF99" s="56"/>
      <c r="AG99" s="56"/>
      <c r="AI99" s="56"/>
      <c r="AJ99" s="72"/>
      <c r="AK99" s="72"/>
      <c r="AL99" s="72"/>
      <c r="AM99" s="56"/>
      <c r="AN99" s="72"/>
      <c r="AO99" s="72"/>
      <c r="AP99" s="72"/>
      <c r="AQ99" s="72"/>
      <c r="AR99" s="72"/>
      <c r="AS99" s="72"/>
      <c r="AT99" s="56"/>
      <c r="AU99" s="72"/>
      <c r="AV99" s="72"/>
      <c r="AW99" s="72"/>
      <c r="AX99" s="72"/>
      <c r="AY99" s="72"/>
      <c r="AZ99" s="72"/>
      <c r="BA99" s="72"/>
      <c r="BB99" s="72"/>
      <c r="BC99" s="72"/>
      <c r="BD99" s="72"/>
      <c r="BE99" s="72"/>
      <c r="BF99" s="72"/>
      <c r="BG99" s="56"/>
      <c r="BH99" s="99"/>
      <c r="BI99" s="99"/>
      <c r="BJ99" s="99"/>
      <c r="BK99" s="99"/>
      <c r="BM99" s="56"/>
      <c r="BN99" s="56"/>
      <c r="BO99" s="56"/>
      <c r="BQ99" s="99"/>
      <c r="BR99" s="99"/>
      <c r="BS99" s="99"/>
    </row>
    <row r="100" spans="1:71" s="84" customFormat="1" ht="15" customHeight="1" x14ac:dyDescent="0.35">
      <c r="A100" s="92"/>
      <c r="B100" s="69" t="str">
        <f>'Popis del_fasada'!B111</f>
        <v>TESARSKA DELA</v>
      </c>
      <c r="F100" s="72"/>
      <c r="G100" s="56"/>
      <c r="H100" s="72"/>
      <c r="I100" s="72"/>
      <c r="J100" s="72"/>
      <c r="K100" s="72"/>
      <c r="L100" s="72"/>
      <c r="M100" s="72"/>
      <c r="N100" s="72"/>
      <c r="O100" s="72"/>
      <c r="P100" s="72"/>
      <c r="Q100" s="72"/>
      <c r="R100" s="72"/>
      <c r="S100" s="72"/>
      <c r="T100" s="56"/>
      <c r="U100" s="72"/>
      <c r="V100" s="72"/>
      <c r="W100" s="72"/>
      <c r="X100" s="72"/>
      <c r="Y100" s="56"/>
      <c r="Z100" s="72"/>
      <c r="AA100" s="72"/>
      <c r="AB100" s="72"/>
      <c r="AC100" s="56"/>
      <c r="AD100" s="56"/>
      <c r="AE100" s="56"/>
      <c r="AF100" s="56"/>
      <c r="AG100" s="56"/>
      <c r="AI100" s="56"/>
      <c r="AJ100" s="72"/>
      <c r="AK100" s="72"/>
      <c r="AL100" s="72"/>
      <c r="AM100" s="56"/>
      <c r="AN100" s="72"/>
      <c r="AO100" s="72"/>
      <c r="AP100" s="72"/>
      <c r="AQ100" s="72"/>
      <c r="AR100" s="72"/>
      <c r="AS100" s="72"/>
      <c r="AT100" s="56"/>
      <c r="AU100" s="72"/>
      <c r="AV100" s="72"/>
      <c r="AW100" s="72"/>
      <c r="AX100" s="72"/>
      <c r="AY100" s="72"/>
      <c r="AZ100" s="72"/>
      <c r="BA100" s="72"/>
      <c r="BB100" s="72"/>
      <c r="BC100" s="72"/>
      <c r="BD100" s="72"/>
      <c r="BE100" s="72"/>
      <c r="BF100" s="72"/>
      <c r="BG100" s="56"/>
      <c r="BH100" s="99"/>
      <c r="BI100" s="99"/>
      <c r="BJ100" s="99"/>
      <c r="BK100" s="99"/>
      <c r="BM100" s="56"/>
      <c r="BN100" s="56"/>
      <c r="BO100" s="56"/>
      <c r="BQ100" s="99"/>
      <c r="BR100" s="99"/>
      <c r="BS100" s="99"/>
    </row>
    <row r="101" spans="1:71" s="84" customFormat="1" ht="15" customHeight="1" x14ac:dyDescent="0.35">
      <c r="A101" s="92" t="str">
        <f>'Popis del_fasada'!A113</f>
        <v>1</v>
      </c>
      <c r="B101" s="69" t="s">
        <v>21</v>
      </c>
      <c r="C101" s="56">
        <f>0.8+0.3+10.57+0.8+0.3</f>
        <v>12.770000000000001</v>
      </c>
      <c r="D101" s="56">
        <f>8.48-0.8</f>
        <v>7.6800000000000006</v>
      </c>
      <c r="E101" s="72"/>
      <c r="F101" s="72"/>
      <c r="G101" s="56"/>
      <c r="H101" s="72"/>
      <c r="I101" s="72"/>
      <c r="J101" s="72"/>
      <c r="K101" s="72"/>
      <c r="L101" s="72"/>
      <c r="M101" s="72"/>
      <c r="N101" s="72"/>
      <c r="O101" s="72"/>
      <c r="P101" s="72"/>
      <c r="Q101" s="72"/>
      <c r="R101" s="72"/>
      <c r="S101" s="72"/>
      <c r="T101" s="56"/>
      <c r="U101" s="72"/>
      <c r="V101" s="72"/>
      <c r="W101" s="72"/>
      <c r="X101" s="72"/>
      <c r="Y101" s="56"/>
      <c r="Z101" s="72"/>
      <c r="AA101" s="72"/>
      <c r="AB101" s="72"/>
      <c r="AC101" s="56"/>
      <c r="AD101" s="56"/>
      <c r="AE101" s="56"/>
      <c r="AF101" s="56"/>
      <c r="AG101" s="56"/>
      <c r="AI101" s="56"/>
      <c r="AJ101" s="72">
        <f>C101*D101</f>
        <v>98.073600000000013</v>
      </c>
      <c r="AK101" s="72"/>
      <c r="AL101" s="72"/>
      <c r="AM101" s="56"/>
      <c r="AN101" s="72"/>
      <c r="AO101" s="72"/>
      <c r="AP101" s="72"/>
      <c r="AQ101" s="72"/>
      <c r="AR101" s="72"/>
      <c r="AS101" s="72"/>
      <c r="AT101" s="56"/>
      <c r="AU101" s="72"/>
      <c r="AV101" s="72"/>
      <c r="AW101" s="72"/>
      <c r="AX101" s="72"/>
      <c r="AY101" s="72"/>
      <c r="AZ101" s="72"/>
      <c r="BA101" s="72"/>
      <c r="BB101" s="72"/>
      <c r="BC101" s="72"/>
      <c r="BD101" s="72"/>
      <c r="BE101" s="72"/>
      <c r="BF101" s="72"/>
      <c r="BG101" s="56"/>
      <c r="BH101" s="99"/>
      <c r="BI101" s="99"/>
      <c r="BJ101" s="99"/>
      <c r="BK101" s="99"/>
      <c r="BM101" s="56"/>
      <c r="BN101" s="56"/>
      <c r="BO101" s="56"/>
      <c r="BQ101" s="99"/>
      <c r="BR101" s="99"/>
      <c r="BS101" s="99"/>
    </row>
    <row r="102" spans="1:71" s="84" customFormat="1" ht="15" customHeight="1" x14ac:dyDescent="0.35">
      <c r="A102" s="92">
        <f>'Popis del_fasada'!A115</f>
        <v>2</v>
      </c>
      <c r="B102" s="69" t="s">
        <v>36</v>
      </c>
      <c r="C102" s="72">
        <v>2</v>
      </c>
      <c r="D102" s="72"/>
      <c r="E102" s="72"/>
      <c r="F102" s="72"/>
      <c r="G102" s="56"/>
      <c r="H102" s="72"/>
      <c r="I102" s="72"/>
      <c r="J102" s="72"/>
      <c r="K102" s="72"/>
      <c r="L102" s="72"/>
      <c r="M102" s="72"/>
      <c r="N102" s="72"/>
      <c r="O102" s="72"/>
      <c r="P102" s="72"/>
      <c r="Q102" s="72"/>
      <c r="R102" s="72"/>
      <c r="S102" s="72"/>
      <c r="T102" s="56"/>
      <c r="U102" s="72"/>
      <c r="V102" s="72"/>
      <c r="W102" s="72"/>
      <c r="X102" s="72"/>
      <c r="Y102" s="56"/>
      <c r="Z102" s="72"/>
      <c r="AA102" s="72"/>
      <c r="AB102" s="72"/>
      <c r="AC102" s="56"/>
      <c r="AD102" s="56"/>
      <c r="AE102" s="56"/>
      <c r="AF102" s="56"/>
      <c r="AG102" s="56"/>
      <c r="AI102" s="56"/>
      <c r="AJ102" s="72"/>
      <c r="AK102" s="72">
        <f>C102</f>
        <v>2</v>
      </c>
      <c r="AL102" s="72"/>
      <c r="AM102" s="56"/>
      <c r="AN102" s="72"/>
      <c r="AO102" s="72"/>
      <c r="AP102" s="72"/>
      <c r="AQ102" s="72"/>
      <c r="AR102" s="72"/>
      <c r="AS102" s="72"/>
      <c r="AT102" s="56"/>
      <c r="AU102" s="72"/>
      <c r="AV102" s="72"/>
      <c r="AW102" s="72"/>
      <c r="AX102" s="72"/>
      <c r="AY102" s="72"/>
      <c r="AZ102" s="72"/>
      <c r="BA102" s="72"/>
      <c r="BB102" s="72"/>
      <c r="BC102" s="72"/>
      <c r="BD102" s="72"/>
      <c r="BE102" s="72"/>
      <c r="BF102" s="72"/>
      <c r="BG102" s="56"/>
      <c r="BH102" s="99"/>
      <c r="BI102" s="99"/>
      <c r="BJ102" s="99"/>
      <c r="BK102" s="99"/>
      <c r="BM102" s="56"/>
      <c r="BN102" s="56"/>
      <c r="BO102" s="56"/>
      <c r="BQ102" s="99"/>
      <c r="BR102" s="99"/>
      <c r="BS102" s="99"/>
    </row>
    <row r="103" spans="1:71" s="84" customFormat="1" ht="15" customHeight="1" x14ac:dyDescent="0.35">
      <c r="A103" s="92">
        <f>'Popis del_fasada'!A119</f>
        <v>3</v>
      </c>
      <c r="B103" s="69" t="s">
        <v>168</v>
      </c>
      <c r="C103" s="72">
        <v>3.24</v>
      </c>
      <c r="D103" s="72">
        <v>1.75</v>
      </c>
      <c r="E103" s="72"/>
      <c r="F103" s="72"/>
      <c r="G103" s="56"/>
      <c r="H103" s="72"/>
      <c r="I103" s="72"/>
      <c r="J103" s="72"/>
      <c r="K103" s="72"/>
      <c r="L103" s="72"/>
      <c r="M103" s="72"/>
      <c r="N103" s="72"/>
      <c r="O103" s="72"/>
      <c r="P103" s="72"/>
      <c r="Q103" s="72"/>
      <c r="R103" s="72"/>
      <c r="S103" s="72"/>
      <c r="T103" s="56"/>
      <c r="U103" s="72"/>
      <c r="V103" s="72"/>
      <c r="W103" s="72"/>
      <c r="X103" s="72"/>
      <c r="Y103" s="56"/>
      <c r="Z103" s="72"/>
      <c r="AA103" s="72"/>
      <c r="AB103" s="72"/>
      <c r="AC103" s="56"/>
      <c r="AD103" s="56"/>
      <c r="AE103" s="56"/>
      <c r="AF103" s="56"/>
      <c r="AG103" s="56"/>
      <c r="AI103" s="56"/>
      <c r="AJ103" s="72"/>
      <c r="AK103" s="72"/>
      <c r="AL103" s="72">
        <f>C103*D103</f>
        <v>5.67</v>
      </c>
      <c r="AM103" s="56"/>
      <c r="AN103" s="72"/>
      <c r="AO103" s="72"/>
      <c r="AP103" s="72"/>
      <c r="AQ103" s="72"/>
      <c r="AR103" s="72"/>
      <c r="AS103" s="72"/>
      <c r="AT103" s="56"/>
      <c r="AU103" s="72"/>
      <c r="AV103" s="72"/>
      <c r="AW103" s="72"/>
      <c r="AX103" s="72"/>
      <c r="AY103" s="72"/>
      <c r="AZ103" s="72"/>
      <c r="BA103" s="72"/>
      <c r="BB103" s="72"/>
      <c r="BC103" s="72"/>
      <c r="BD103" s="72"/>
      <c r="BE103" s="72"/>
      <c r="BF103" s="72"/>
      <c r="BG103" s="56"/>
      <c r="BH103" s="99"/>
      <c r="BI103" s="99"/>
      <c r="BJ103" s="99"/>
      <c r="BK103" s="99"/>
      <c r="BM103" s="56"/>
      <c r="BN103" s="56"/>
      <c r="BO103" s="56"/>
      <c r="BQ103" s="99"/>
      <c r="BR103" s="99"/>
      <c r="BS103" s="99"/>
    </row>
    <row r="104" spans="1:71" s="84" customFormat="1" ht="15" customHeight="1" x14ac:dyDescent="0.35">
      <c r="A104" s="92"/>
      <c r="B104" s="69"/>
      <c r="C104" s="72"/>
      <c r="D104" s="72"/>
      <c r="E104" s="72"/>
      <c r="F104" s="72"/>
      <c r="G104" s="56"/>
      <c r="H104" s="72"/>
      <c r="I104" s="72"/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56"/>
      <c r="U104" s="72"/>
      <c r="V104" s="72"/>
      <c r="W104" s="72"/>
      <c r="X104" s="72"/>
      <c r="Y104" s="56"/>
      <c r="Z104" s="72"/>
      <c r="AA104" s="72"/>
      <c r="AB104" s="72"/>
      <c r="AC104" s="56"/>
      <c r="AD104" s="56"/>
      <c r="AE104" s="56"/>
      <c r="AF104" s="56"/>
      <c r="AG104" s="56"/>
      <c r="AI104" s="56"/>
      <c r="AJ104" s="72"/>
      <c r="AK104" s="72"/>
      <c r="AL104" s="72"/>
      <c r="AM104" s="56"/>
      <c r="AN104" s="72"/>
      <c r="AO104" s="72"/>
      <c r="AP104" s="72"/>
      <c r="AQ104" s="72"/>
      <c r="AR104" s="72"/>
      <c r="AS104" s="72"/>
      <c r="AT104" s="56"/>
      <c r="AU104" s="72"/>
      <c r="AV104" s="72"/>
      <c r="AW104" s="72"/>
      <c r="AX104" s="72"/>
      <c r="AY104" s="72"/>
      <c r="AZ104" s="72"/>
      <c r="BA104" s="72"/>
      <c r="BB104" s="72"/>
      <c r="BC104" s="72"/>
      <c r="BD104" s="72"/>
      <c r="BE104" s="72"/>
      <c r="BF104" s="72"/>
      <c r="BG104" s="56"/>
      <c r="BH104" s="99"/>
      <c r="BI104" s="99"/>
      <c r="BJ104" s="99"/>
      <c r="BK104" s="99"/>
      <c r="BM104" s="56"/>
      <c r="BN104" s="56"/>
      <c r="BO104" s="56"/>
      <c r="BQ104" s="99"/>
      <c r="BR104" s="99"/>
      <c r="BS104" s="99"/>
    </row>
    <row r="105" spans="1:71" s="84" customFormat="1" ht="15" customHeight="1" x14ac:dyDescent="0.35">
      <c r="A105" s="92"/>
      <c r="B105" s="69" t="str">
        <f>'Popis del_fasada'!B123</f>
        <v>FASADERSKA DELA</v>
      </c>
      <c r="C105" s="72"/>
      <c r="D105" s="72"/>
      <c r="E105" s="72"/>
      <c r="F105" s="72"/>
      <c r="G105" s="56"/>
      <c r="H105" s="72"/>
      <c r="I105" s="72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56"/>
      <c r="U105" s="72"/>
      <c r="V105" s="72"/>
      <c r="W105" s="72"/>
      <c r="X105" s="72"/>
      <c r="Y105" s="56"/>
      <c r="Z105" s="72"/>
      <c r="AA105" s="72"/>
      <c r="AB105" s="72"/>
      <c r="AC105" s="56"/>
      <c r="AD105" s="56"/>
      <c r="AE105" s="56"/>
      <c r="AF105" s="56"/>
      <c r="AG105" s="56"/>
      <c r="AI105" s="56"/>
      <c r="AJ105" s="72"/>
      <c r="AK105" s="72"/>
      <c r="AL105" s="72"/>
      <c r="AM105" s="56"/>
      <c r="AN105" s="72"/>
      <c r="AO105" s="72"/>
      <c r="AP105" s="72"/>
      <c r="AQ105" s="72"/>
      <c r="AR105" s="72"/>
      <c r="AS105" s="72"/>
      <c r="AT105" s="56"/>
      <c r="AU105" s="72"/>
      <c r="AV105" s="72"/>
      <c r="AW105" s="72"/>
      <c r="AX105" s="72"/>
      <c r="AY105" s="72"/>
      <c r="AZ105" s="72"/>
      <c r="BA105" s="72"/>
      <c r="BB105" s="72"/>
      <c r="BC105" s="72"/>
      <c r="BD105" s="72"/>
      <c r="BE105" s="72"/>
      <c r="BF105" s="72"/>
      <c r="BG105" s="56"/>
      <c r="BH105" s="99"/>
      <c r="BI105" s="99"/>
      <c r="BJ105" s="99"/>
      <c r="BK105" s="99"/>
      <c r="BM105" s="56"/>
      <c r="BN105" s="56"/>
      <c r="BO105" s="56"/>
      <c r="BQ105" s="99"/>
      <c r="BR105" s="99"/>
      <c r="BS105" s="99"/>
    </row>
    <row r="106" spans="1:71" s="84" customFormat="1" ht="15" customHeight="1" x14ac:dyDescent="0.35">
      <c r="A106" s="92" t="str">
        <f>'Popis del_fasada'!A128</f>
        <v>1</v>
      </c>
      <c r="B106" s="69" t="s">
        <v>169</v>
      </c>
      <c r="C106" s="56">
        <f>0.15+3.91+3.66+0.15</f>
        <v>7.870000000000001</v>
      </c>
      <c r="D106" s="56">
        <v>1</v>
      </c>
      <c r="E106" s="72"/>
      <c r="F106" s="72"/>
      <c r="G106" s="56"/>
      <c r="H106" s="72"/>
      <c r="I106" s="72"/>
      <c r="J106" s="72"/>
      <c r="K106" s="72"/>
      <c r="L106" s="72"/>
      <c r="M106" s="72"/>
      <c r="N106" s="72"/>
      <c r="O106" s="72"/>
      <c r="P106" s="72"/>
      <c r="Q106" s="72"/>
      <c r="R106" s="72"/>
      <c r="S106" s="72"/>
      <c r="T106" s="56"/>
      <c r="U106" s="72"/>
      <c r="V106" s="72"/>
      <c r="W106" s="72"/>
      <c r="X106" s="72"/>
      <c r="Y106" s="56"/>
      <c r="Z106" s="72"/>
      <c r="AA106" s="72"/>
      <c r="AB106" s="72"/>
      <c r="AC106" s="56"/>
      <c r="AD106" s="56"/>
      <c r="AE106" s="56"/>
      <c r="AF106" s="56"/>
      <c r="AG106" s="56"/>
      <c r="AI106" s="56"/>
      <c r="AJ106" s="72"/>
      <c r="AK106" s="72"/>
      <c r="AL106" s="72"/>
      <c r="AM106" s="56"/>
      <c r="AN106" s="72">
        <f>C106*D106</f>
        <v>7.870000000000001</v>
      </c>
      <c r="AO106" s="72"/>
      <c r="AP106" s="72"/>
      <c r="AQ106" s="72"/>
      <c r="AR106" s="72"/>
      <c r="AS106" s="72"/>
      <c r="AT106" s="56"/>
      <c r="AU106" s="72"/>
      <c r="AV106" s="72"/>
      <c r="AW106" s="72"/>
      <c r="AX106" s="72"/>
      <c r="AY106" s="72"/>
      <c r="AZ106" s="72"/>
      <c r="BA106" s="72"/>
      <c r="BB106" s="72"/>
      <c r="BC106" s="72"/>
      <c r="BD106" s="72"/>
      <c r="BE106" s="72"/>
      <c r="BF106" s="72"/>
      <c r="BG106" s="56"/>
      <c r="BH106" s="99"/>
      <c r="BI106" s="99"/>
      <c r="BJ106" s="99"/>
      <c r="BK106" s="99"/>
      <c r="BM106" s="56"/>
      <c r="BN106" s="56"/>
      <c r="BO106" s="56"/>
      <c r="BQ106" s="99"/>
      <c r="BR106" s="99"/>
      <c r="BS106" s="99"/>
    </row>
    <row r="107" spans="1:71" s="84" customFormat="1" ht="15" customHeight="1" x14ac:dyDescent="0.35">
      <c r="A107" s="92" t="str">
        <f>'Popis del_fasada'!A130</f>
        <v>2</v>
      </c>
      <c r="B107" s="69" t="s">
        <v>97</v>
      </c>
      <c r="C107" s="56">
        <f>0.15+10.57+0.15</f>
        <v>10.870000000000001</v>
      </c>
      <c r="D107" s="56">
        <f>8.48-0.7</f>
        <v>7.78</v>
      </c>
      <c r="E107" s="72"/>
      <c r="F107" s="72"/>
      <c r="G107" s="56"/>
      <c r="H107" s="72"/>
      <c r="I107" s="72"/>
      <c r="J107" s="72"/>
      <c r="K107" s="72"/>
      <c r="L107" s="72"/>
      <c r="M107" s="72"/>
      <c r="N107" s="72"/>
      <c r="O107" s="72"/>
      <c r="P107" s="72"/>
      <c r="Q107" s="72"/>
      <c r="R107" s="72"/>
      <c r="S107" s="72"/>
      <c r="T107" s="56"/>
      <c r="U107" s="72"/>
      <c r="V107" s="72"/>
      <c r="W107" s="72"/>
      <c r="X107" s="72"/>
      <c r="Y107" s="56"/>
      <c r="Z107" s="72"/>
      <c r="AA107" s="72"/>
      <c r="AB107" s="72"/>
      <c r="AC107" s="56"/>
      <c r="AD107" s="56"/>
      <c r="AE107" s="56"/>
      <c r="AF107" s="56"/>
      <c r="AG107" s="56"/>
      <c r="AI107" s="56"/>
      <c r="AJ107" s="72"/>
      <c r="AK107" s="72"/>
      <c r="AL107" s="72"/>
      <c r="AM107" s="56"/>
      <c r="AN107" s="72"/>
      <c r="AO107" s="72">
        <f>C107*D107</f>
        <v>84.568600000000004</v>
      </c>
      <c r="AP107" s="72"/>
      <c r="AQ107" s="72"/>
      <c r="AR107" s="72"/>
      <c r="AS107" s="72"/>
      <c r="AT107" s="56"/>
      <c r="AU107" s="72"/>
      <c r="AV107" s="72"/>
      <c r="AW107" s="72"/>
      <c r="AX107" s="72"/>
      <c r="AY107" s="72"/>
      <c r="AZ107" s="72"/>
      <c r="BA107" s="72"/>
      <c r="BB107" s="72"/>
      <c r="BC107" s="72"/>
      <c r="BD107" s="72"/>
      <c r="BE107" s="72"/>
      <c r="BF107" s="72"/>
      <c r="BG107" s="56"/>
      <c r="BH107" s="99"/>
      <c r="BI107" s="99"/>
      <c r="BJ107" s="99"/>
      <c r="BK107" s="99"/>
      <c r="BM107" s="56"/>
      <c r="BN107" s="56"/>
      <c r="BO107" s="56"/>
      <c r="BQ107" s="99"/>
      <c r="BR107" s="99"/>
      <c r="BS107" s="99"/>
    </row>
    <row r="108" spans="1:71" s="84" customFormat="1" ht="15" customHeight="1" x14ac:dyDescent="0.35">
      <c r="A108" s="92"/>
      <c r="B108" s="69"/>
      <c r="C108" s="56"/>
      <c r="D108" s="56"/>
      <c r="E108" s="72"/>
      <c r="F108" s="72"/>
      <c r="G108" s="56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72"/>
      <c r="T108" s="56"/>
      <c r="U108" s="72"/>
      <c r="V108" s="72"/>
      <c r="W108" s="72"/>
      <c r="X108" s="72"/>
      <c r="Y108" s="56"/>
      <c r="Z108" s="72"/>
      <c r="AA108" s="72"/>
      <c r="AB108" s="72"/>
      <c r="AC108" s="56"/>
      <c r="AD108" s="56"/>
      <c r="AE108" s="56"/>
      <c r="AF108" s="56"/>
      <c r="AG108" s="56"/>
      <c r="AI108" s="56"/>
      <c r="AJ108" s="72"/>
      <c r="AK108" s="72"/>
      <c r="AL108" s="72"/>
      <c r="AM108" s="56"/>
      <c r="AN108" s="72"/>
      <c r="AO108" s="72"/>
      <c r="AP108" s="72"/>
      <c r="AQ108" s="72"/>
      <c r="AR108" s="72"/>
      <c r="AS108" s="72"/>
      <c r="AT108" s="56"/>
      <c r="AU108" s="72"/>
      <c r="AV108" s="72"/>
      <c r="AW108" s="72"/>
      <c r="AX108" s="72"/>
      <c r="AY108" s="72"/>
      <c r="AZ108" s="72"/>
      <c r="BA108" s="72"/>
      <c r="BB108" s="72"/>
      <c r="BC108" s="72"/>
      <c r="BD108" s="72"/>
      <c r="BE108" s="72"/>
      <c r="BF108" s="72"/>
      <c r="BG108" s="56"/>
      <c r="BH108" s="99"/>
      <c r="BI108" s="99"/>
      <c r="BJ108" s="99"/>
      <c r="BK108" s="99"/>
      <c r="BM108" s="56"/>
      <c r="BN108" s="56"/>
      <c r="BO108" s="56"/>
      <c r="BQ108" s="99"/>
      <c r="BR108" s="99"/>
      <c r="BS108" s="99"/>
    </row>
    <row r="109" spans="1:71" s="84" customFormat="1" ht="15" customHeight="1" x14ac:dyDescent="0.35">
      <c r="A109" s="92" t="str">
        <f>'Popis del_fasada'!A132</f>
        <v>3</v>
      </c>
      <c r="B109" s="69" t="s">
        <v>98</v>
      </c>
      <c r="C109" s="56"/>
      <c r="D109" s="56"/>
      <c r="E109" s="72"/>
      <c r="F109" s="72"/>
      <c r="G109" s="56"/>
      <c r="H109" s="72"/>
      <c r="I109" s="72"/>
      <c r="J109" s="72"/>
      <c r="K109" s="72"/>
      <c r="L109" s="72"/>
      <c r="M109" s="72"/>
      <c r="N109" s="72"/>
      <c r="O109" s="72"/>
      <c r="P109" s="72"/>
      <c r="Q109" s="72"/>
      <c r="R109" s="72"/>
      <c r="S109" s="72"/>
      <c r="T109" s="56"/>
      <c r="U109" s="72"/>
      <c r="V109" s="72"/>
      <c r="W109" s="72"/>
      <c r="X109" s="72"/>
      <c r="Y109" s="56"/>
      <c r="Z109" s="72"/>
      <c r="AA109" s="72"/>
      <c r="AB109" s="72"/>
      <c r="AC109" s="56"/>
      <c r="AD109" s="56"/>
      <c r="AE109" s="56"/>
      <c r="AF109" s="56"/>
      <c r="AG109" s="56"/>
      <c r="AI109" s="56"/>
      <c r="AJ109" s="72"/>
      <c r="AK109" s="72"/>
      <c r="AL109" s="72"/>
      <c r="AM109" s="56"/>
      <c r="AN109" s="72"/>
      <c r="AO109" s="72"/>
      <c r="AP109" s="72"/>
      <c r="AQ109" s="72"/>
      <c r="AR109" s="72"/>
      <c r="AS109" s="72"/>
      <c r="AT109" s="56"/>
      <c r="AU109" s="72"/>
      <c r="AV109" s="72"/>
      <c r="AW109" s="72"/>
      <c r="AX109" s="72"/>
      <c r="AY109" s="72"/>
      <c r="AZ109" s="72"/>
      <c r="BA109" s="72"/>
      <c r="BB109" s="72"/>
      <c r="BC109" s="72"/>
      <c r="BD109" s="72"/>
      <c r="BE109" s="72"/>
      <c r="BF109" s="72"/>
      <c r="BG109" s="56"/>
      <c r="BH109" s="99"/>
      <c r="BI109" s="99"/>
      <c r="BJ109" s="99"/>
      <c r="BK109" s="99"/>
      <c r="BM109" s="56"/>
      <c r="BN109" s="56"/>
      <c r="BO109" s="56"/>
      <c r="BQ109" s="99"/>
      <c r="BR109" s="99"/>
      <c r="BS109" s="99"/>
    </row>
    <row r="110" spans="1:71" s="84" customFormat="1" ht="15" customHeight="1" x14ac:dyDescent="0.45">
      <c r="A110" s="92"/>
      <c r="B110" s="56" t="s">
        <v>220</v>
      </c>
      <c r="C110" s="72">
        <v>1.5</v>
      </c>
      <c r="D110" s="72">
        <v>1.55</v>
      </c>
      <c r="E110" s="56">
        <v>1</v>
      </c>
      <c r="F110" s="72">
        <f>0.35-0.2</f>
        <v>0.14999999999999997</v>
      </c>
      <c r="G110" s="56"/>
      <c r="H110" s="72"/>
      <c r="I110" s="72"/>
      <c r="J110" s="72"/>
      <c r="K110" s="72"/>
      <c r="L110" s="72"/>
      <c r="M110" s="72"/>
      <c r="N110" s="72"/>
      <c r="O110" s="72"/>
      <c r="P110" s="72"/>
      <c r="Q110" s="72"/>
      <c r="R110" s="72"/>
      <c r="S110" s="72"/>
      <c r="T110" s="56"/>
      <c r="U110" s="72"/>
      <c r="V110" s="72"/>
      <c r="W110" s="72"/>
      <c r="X110" s="72"/>
      <c r="Y110" s="56"/>
      <c r="Z110" s="72"/>
      <c r="AA110" s="72"/>
      <c r="AB110" s="72"/>
      <c r="AC110" s="56"/>
      <c r="AD110" s="56"/>
      <c r="AE110" s="56"/>
      <c r="AF110" s="56"/>
      <c r="AG110" s="56"/>
      <c r="AI110" s="56"/>
      <c r="AJ110" s="72"/>
      <c r="AK110" s="72"/>
      <c r="AL110" s="72"/>
      <c r="AM110" s="56"/>
      <c r="AN110" s="72"/>
      <c r="AO110" s="72"/>
      <c r="AP110" s="72">
        <f t="shared" ref="AP110:AP116" si="6">(C110+2*D110)*E110*F110</f>
        <v>0.68999999999999984</v>
      </c>
      <c r="AQ110" s="72"/>
      <c r="AR110" s="72"/>
      <c r="AS110" s="72"/>
      <c r="AT110" s="56"/>
      <c r="AU110" s="72"/>
      <c r="AV110" s="72"/>
      <c r="AW110" s="72"/>
      <c r="AX110" s="72"/>
      <c r="AY110" s="72"/>
      <c r="AZ110" s="72"/>
      <c r="BA110" s="72"/>
      <c r="BB110" s="72"/>
      <c r="BC110" s="72"/>
      <c r="BD110" s="72"/>
      <c r="BE110" s="72"/>
      <c r="BF110" s="72"/>
      <c r="BG110" s="56"/>
      <c r="BH110" s="99"/>
      <c r="BI110" s="99"/>
      <c r="BJ110" s="99"/>
      <c r="BK110" s="99"/>
      <c r="BM110" s="56"/>
      <c r="BN110" s="56"/>
      <c r="BO110" s="56"/>
      <c r="BQ110" s="99"/>
      <c r="BR110" s="99"/>
      <c r="BS110" s="99"/>
    </row>
    <row r="111" spans="1:71" s="84" customFormat="1" ht="15" customHeight="1" x14ac:dyDescent="0.45">
      <c r="A111" s="92"/>
      <c r="B111" s="56" t="s">
        <v>221</v>
      </c>
      <c r="C111" s="72">
        <v>0.82</v>
      </c>
      <c r="D111" s="72">
        <v>0.81</v>
      </c>
      <c r="E111" s="56">
        <v>1</v>
      </c>
      <c r="F111" s="72">
        <f t="shared" ref="F111:F116" si="7">0.35-0.2</f>
        <v>0.14999999999999997</v>
      </c>
      <c r="G111" s="56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  <c r="T111" s="56"/>
      <c r="U111" s="72"/>
      <c r="V111" s="72"/>
      <c r="W111" s="72"/>
      <c r="X111" s="72"/>
      <c r="Y111" s="56"/>
      <c r="Z111" s="72"/>
      <c r="AA111" s="72"/>
      <c r="AB111" s="72"/>
      <c r="AC111" s="56"/>
      <c r="AD111" s="56"/>
      <c r="AE111" s="56"/>
      <c r="AF111" s="56"/>
      <c r="AG111" s="56"/>
      <c r="AI111" s="56"/>
      <c r="AJ111" s="72"/>
      <c r="AK111" s="72"/>
      <c r="AL111" s="72"/>
      <c r="AM111" s="56"/>
      <c r="AN111" s="72"/>
      <c r="AO111" s="72"/>
      <c r="AP111" s="72">
        <f t="shared" si="6"/>
        <v>0.36599999999999994</v>
      </c>
      <c r="AQ111" s="72"/>
      <c r="AR111" s="72"/>
      <c r="AS111" s="72"/>
      <c r="AT111" s="56"/>
      <c r="AU111" s="72"/>
      <c r="AV111" s="72"/>
      <c r="AW111" s="72"/>
      <c r="AX111" s="72"/>
      <c r="AY111" s="72"/>
      <c r="AZ111" s="72"/>
      <c r="BA111" s="72"/>
      <c r="BB111" s="72"/>
      <c r="BC111" s="72"/>
      <c r="BD111" s="72"/>
      <c r="BE111" s="72"/>
      <c r="BF111" s="72"/>
      <c r="BG111" s="56"/>
      <c r="BH111" s="99"/>
      <c r="BI111" s="99"/>
      <c r="BJ111" s="99"/>
      <c r="BK111" s="99"/>
      <c r="BM111" s="56"/>
      <c r="BN111" s="56"/>
      <c r="BO111" s="56"/>
      <c r="BQ111" s="99"/>
      <c r="BR111" s="99"/>
      <c r="BS111" s="99"/>
    </row>
    <row r="112" spans="1:71" s="84" customFormat="1" ht="15" customHeight="1" x14ac:dyDescent="0.45">
      <c r="A112" s="92"/>
      <c r="B112" s="56" t="s">
        <v>222</v>
      </c>
      <c r="C112" s="72">
        <v>0.63</v>
      </c>
      <c r="D112" s="72">
        <v>0.64</v>
      </c>
      <c r="E112" s="56">
        <v>1</v>
      </c>
      <c r="F112" s="72">
        <f t="shared" si="7"/>
        <v>0.14999999999999997</v>
      </c>
      <c r="G112" s="56"/>
      <c r="H112" s="72"/>
      <c r="I112" s="72"/>
      <c r="J112" s="72"/>
      <c r="K112" s="72"/>
      <c r="L112" s="72"/>
      <c r="M112" s="72"/>
      <c r="N112" s="72"/>
      <c r="O112" s="72"/>
      <c r="P112" s="72"/>
      <c r="Q112" s="72"/>
      <c r="R112" s="72"/>
      <c r="S112" s="72"/>
      <c r="T112" s="56"/>
      <c r="U112" s="72"/>
      <c r="V112" s="72"/>
      <c r="W112" s="72"/>
      <c r="X112" s="72"/>
      <c r="Y112" s="56"/>
      <c r="Z112" s="72"/>
      <c r="AA112" s="72"/>
      <c r="AB112" s="72"/>
      <c r="AC112" s="56"/>
      <c r="AD112" s="56"/>
      <c r="AE112" s="56"/>
      <c r="AF112" s="56"/>
      <c r="AG112" s="56"/>
      <c r="AI112" s="56"/>
      <c r="AJ112" s="72"/>
      <c r="AK112" s="72"/>
      <c r="AL112" s="72"/>
      <c r="AM112" s="56"/>
      <c r="AN112" s="72"/>
      <c r="AO112" s="72"/>
      <c r="AP112" s="72">
        <f t="shared" si="6"/>
        <v>0.28649999999999998</v>
      </c>
      <c r="AQ112" s="72"/>
      <c r="AR112" s="72"/>
      <c r="AS112" s="72"/>
      <c r="AT112" s="56"/>
      <c r="AU112" s="72"/>
      <c r="AV112" s="72"/>
      <c r="AW112" s="72"/>
      <c r="AX112" s="72"/>
      <c r="AY112" s="72"/>
      <c r="AZ112" s="72"/>
      <c r="BA112" s="72"/>
      <c r="BB112" s="72"/>
      <c r="BC112" s="72"/>
      <c r="BD112" s="72"/>
      <c r="BE112" s="72"/>
      <c r="BF112" s="72"/>
      <c r="BG112" s="56"/>
      <c r="BH112" s="99"/>
      <c r="BI112" s="99"/>
      <c r="BJ112" s="99"/>
      <c r="BK112" s="99"/>
      <c r="BM112" s="56"/>
      <c r="BN112" s="56"/>
      <c r="BO112" s="56"/>
      <c r="BQ112" s="99"/>
      <c r="BR112" s="99"/>
      <c r="BS112" s="99"/>
    </row>
    <row r="113" spans="1:71" s="84" customFormat="1" ht="15" customHeight="1" x14ac:dyDescent="0.45">
      <c r="A113" s="92"/>
      <c r="B113" s="56" t="s">
        <v>223</v>
      </c>
      <c r="C113" s="72">
        <v>0.6</v>
      </c>
      <c r="D113" s="72">
        <v>0.65</v>
      </c>
      <c r="E113" s="56">
        <v>1</v>
      </c>
      <c r="F113" s="72">
        <f t="shared" si="7"/>
        <v>0.14999999999999997</v>
      </c>
      <c r="G113" s="56"/>
      <c r="H113" s="72"/>
      <c r="I113" s="72"/>
      <c r="J113" s="72"/>
      <c r="K113" s="72"/>
      <c r="L113" s="72"/>
      <c r="M113" s="72"/>
      <c r="N113" s="72"/>
      <c r="O113" s="72"/>
      <c r="P113" s="72"/>
      <c r="Q113" s="72"/>
      <c r="R113" s="72"/>
      <c r="S113" s="72"/>
      <c r="T113" s="56"/>
      <c r="U113" s="72"/>
      <c r="V113" s="72"/>
      <c r="W113" s="72"/>
      <c r="X113" s="72"/>
      <c r="Y113" s="56"/>
      <c r="Z113" s="72"/>
      <c r="AA113" s="72"/>
      <c r="AB113" s="72"/>
      <c r="AC113" s="56"/>
      <c r="AD113" s="56"/>
      <c r="AE113" s="56"/>
      <c r="AF113" s="56"/>
      <c r="AG113" s="56"/>
      <c r="AI113" s="56"/>
      <c r="AJ113" s="72"/>
      <c r="AK113" s="72"/>
      <c r="AL113" s="72"/>
      <c r="AM113" s="56"/>
      <c r="AN113" s="72"/>
      <c r="AO113" s="72"/>
      <c r="AP113" s="72">
        <f t="shared" si="6"/>
        <v>0.28499999999999992</v>
      </c>
      <c r="AQ113" s="72"/>
      <c r="AR113" s="72"/>
      <c r="AS113" s="72"/>
      <c r="AT113" s="56"/>
      <c r="AU113" s="72"/>
      <c r="AV113" s="72"/>
      <c r="AW113" s="72"/>
      <c r="AX113" s="72"/>
      <c r="AY113" s="72"/>
      <c r="AZ113" s="72"/>
      <c r="BA113" s="72"/>
      <c r="BB113" s="72"/>
      <c r="BC113" s="72"/>
      <c r="BD113" s="72"/>
      <c r="BE113" s="72"/>
      <c r="BF113" s="72"/>
      <c r="BG113" s="56"/>
      <c r="BH113" s="99"/>
      <c r="BI113" s="99"/>
      <c r="BJ113" s="99"/>
      <c r="BK113" s="99"/>
      <c r="BM113" s="56"/>
      <c r="BN113" s="56"/>
      <c r="BO113" s="56"/>
      <c r="BQ113" s="99"/>
      <c r="BR113" s="99"/>
      <c r="BS113" s="99"/>
    </row>
    <row r="114" spans="1:71" s="84" customFormat="1" ht="15" customHeight="1" x14ac:dyDescent="0.45">
      <c r="A114" s="92"/>
      <c r="B114" s="56" t="s">
        <v>224</v>
      </c>
      <c r="C114" s="72">
        <v>0.66</v>
      </c>
      <c r="D114" s="72">
        <v>0.61</v>
      </c>
      <c r="E114" s="56">
        <v>1</v>
      </c>
      <c r="F114" s="72">
        <f t="shared" si="7"/>
        <v>0.14999999999999997</v>
      </c>
      <c r="G114" s="56"/>
      <c r="H114" s="72"/>
      <c r="I114" s="72"/>
      <c r="J114" s="72"/>
      <c r="K114" s="72"/>
      <c r="L114" s="72"/>
      <c r="M114" s="72"/>
      <c r="N114" s="72"/>
      <c r="O114" s="72"/>
      <c r="P114" s="72"/>
      <c r="Q114" s="72"/>
      <c r="R114" s="72"/>
      <c r="S114" s="72"/>
      <c r="T114" s="56"/>
      <c r="U114" s="72"/>
      <c r="V114" s="72"/>
      <c r="W114" s="72"/>
      <c r="X114" s="72"/>
      <c r="Y114" s="56"/>
      <c r="Z114" s="72"/>
      <c r="AA114" s="72"/>
      <c r="AB114" s="72"/>
      <c r="AC114" s="56"/>
      <c r="AD114" s="56"/>
      <c r="AE114" s="56"/>
      <c r="AF114" s="56"/>
      <c r="AG114" s="56"/>
      <c r="AI114" s="56"/>
      <c r="AJ114" s="72"/>
      <c r="AK114" s="72"/>
      <c r="AL114" s="72"/>
      <c r="AM114" s="56"/>
      <c r="AN114" s="72"/>
      <c r="AO114" s="72"/>
      <c r="AP114" s="72">
        <f t="shared" si="6"/>
        <v>0.28199999999999992</v>
      </c>
      <c r="AQ114" s="72"/>
      <c r="AR114" s="72"/>
      <c r="AS114" s="72"/>
      <c r="AT114" s="56"/>
      <c r="AU114" s="72"/>
      <c r="AV114" s="72"/>
      <c r="AW114" s="72"/>
      <c r="AX114" s="72"/>
      <c r="AY114" s="72"/>
      <c r="AZ114" s="72"/>
      <c r="BA114" s="72"/>
      <c r="BB114" s="72"/>
      <c r="BC114" s="72"/>
      <c r="BD114" s="72"/>
      <c r="BE114" s="72"/>
      <c r="BF114" s="72"/>
      <c r="BG114" s="56"/>
      <c r="BH114" s="99"/>
      <c r="BI114" s="99"/>
      <c r="BJ114" s="99"/>
      <c r="BK114" s="99"/>
      <c r="BM114" s="56"/>
      <c r="BN114" s="56"/>
      <c r="BO114" s="56"/>
      <c r="BQ114" s="99"/>
      <c r="BR114" s="99"/>
      <c r="BS114" s="99"/>
    </row>
    <row r="115" spans="1:71" s="84" customFormat="1" ht="15" customHeight="1" x14ac:dyDescent="0.45">
      <c r="A115" s="92"/>
      <c r="B115" s="56" t="s">
        <v>225</v>
      </c>
      <c r="C115" s="72">
        <v>1</v>
      </c>
      <c r="D115" s="72">
        <v>2.16</v>
      </c>
      <c r="E115" s="56">
        <v>1</v>
      </c>
      <c r="F115" s="72">
        <f t="shared" si="7"/>
        <v>0.14999999999999997</v>
      </c>
      <c r="G115" s="56"/>
      <c r="H115" s="72"/>
      <c r="I115" s="72"/>
      <c r="J115" s="72"/>
      <c r="K115" s="72"/>
      <c r="L115" s="72"/>
      <c r="M115" s="72"/>
      <c r="N115" s="72"/>
      <c r="O115" s="72"/>
      <c r="P115" s="72"/>
      <c r="Q115" s="72"/>
      <c r="R115" s="72"/>
      <c r="S115" s="72"/>
      <c r="T115" s="56"/>
      <c r="U115" s="72"/>
      <c r="V115" s="72"/>
      <c r="W115" s="72"/>
      <c r="X115" s="72"/>
      <c r="Y115" s="56"/>
      <c r="Z115" s="72"/>
      <c r="AA115" s="72"/>
      <c r="AB115" s="72"/>
      <c r="AC115" s="56"/>
      <c r="AD115" s="56"/>
      <c r="AE115" s="56"/>
      <c r="AF115" s="56"/>
      <c r="AG115" s="56"/>
      <c r="AI115" s="56"/>
      <c r="AJ115" s="72"/>
      <c r="AK115" s="72"/>
      <c r="AL115" s="72"/>
      <c r="AM115" s="56"/>
      <c r="AN115" s="72"/>
      <c r="AO115" s="72"/>
      <c r="AP115" s="72">
        <f t="shared" si="6"/>
        <v>0.79799999999999982</v>
      </c>
      <c r="AQ115" s="72"/>
      <c r="AR115" s="72"/>
      <c r="AS115" s="72"/>
      <c r="AT115" s="56"/>
      <c r="AU115" s="72"/>
      <c r="AV115" s="72"/>
      <c r="AW115" s="72"/>
      <c r="AX115" s="72"/>
      <c r="AY115" s="72"/>
      <c r="AZ115" s="72"/>
      <c r="BA115" s="72"/>
      <c r="BB115" s="72"/>
      <c r="BC115" s="72"/>
      <c r="BD115" s="72"/>
      <c r="BE115" s="72"/>
      <c r="BF115" s="72"/>
      <c r="BG115" s="56"/>
      <c r="BH115" s="99"/>
      <c r="BI115" s="99"/>
      <c r="BJ115" s="99"/>
      <c r="BK115" s="99"/>
      <c r="BM115" s="56"/>
      <c r="BN115" s="56"/>
      <c r="BO115" s="56"/>
      <c r="BQ115" s="99"/>
      <c r="BR115" s="99"/>
      <c r="BS115" s="99"/>
    </row>
    <row r="116" spans="1:71" s="84" customFormat="1" ht="15" customHeight="1" x14ac:dyDescent="0.45">
      <c r="A116" s="92"/>
      <c r="B116" s="56" t="s">
        <v>226</v>
      </c>
      <c r="C116" s="72">
        <v>0.72</v>
      </c>
      <c r="D116" s="72">
        <v>2.2599999999999998</v>
      </c>
      <c r="E116" s="56">
        <v>1</v>
      </c>
      <c r="F116" s="72">
        <f t="shared" si="7"/>
        <v>0.14999999999999997</v>
      </c>
      <c r="G116" s="56"/>
      <c r="H116" s="72"/>
      <c r="I116" s="72"/>
      <c r="J116" s="72"/>
      <c r="K116" s="72"/>
      <c r="L116" s="72"/>
      <c r="M116" s="72"/>
      <c r="N116" s="72"/>
      <c r="O116" s="72"/>
      <c r="P116" s="72"/>
      <c r="Q116" s="72"/>
      <c r="R116" s="72"/>
      <c r="S116" s="72"/>
      <c r="T116" s="56"/>
      <c r="U116" s="72"/>
      <c r="V116" s="72"/>
      <c r="W116" s="72"/>
      <c r="X116" s="72"/>
      <c r="Y116" s="56"/>
      <c r="Z116" s="72"/>
      <c r="AA116" s="72"/>
      <c r="AB116" s="72"/>
      <c r="AC116" s="56"/>
      <c r="AD116" s="56"/>
      <c r="AE116" s="56"/>
      <c r="AF116" s="56"/>
      <c r="AG116" s="56"/>
      <c r="AI116" s="56"/>
      <c r="AJ116" s="72"/>
      <c r="AK116" s="72"/>
      <c r="AL116" s="72"/>
      <c r="AM116" s="56"/>
      <c r="AN116" s="72"/>
      <c r="AO116" s="72"/>
      <c r="AP116" s="72">
        <f t="shared" si="6"/>
        <v>0.7859999999999997</v>
      </c>
      <c r="AQ116" s="72"/>
      <c r="AR116" s="72"/>
      <c r="AS116" s="72"/>
      <c r="AT116" s="56"/>
      <c r="AU116" s="72"/>
      <c r="AV116" s="72"/>
      <c r="AW116" s="72"/>
      <c r="AX116" s="72"/>
      <c r="AY116" s="72"/>
      <c r="AZ116" s="72"/>
      <c r="BA116" s="72"/>
      <c r="BB116" s="72"/>
      <c r="BC116" s="72"/>
      <c r="BD116" s="72"/>
      <c r="BE116" s="72"/>
      <c r="BF116" s="72"/>
      <c r="BG116" s="56"/>
      <c r="BH116" s="99"/>
      <c r="BI116" s="99"/>
      <c r="BJ116" s="99"/>
      <c r="BK116" s="99"/>
      <c r="BM116" s="56"/>
      <c r="BN116" s="56"/>
      <c r="BO116" s="56"/>
      <c r="BQ116" s="99"/>
      <c r="BR116" s="99"/>
      <c r="BS116" s="99"/>
    </row>
    <row r="117" spans="1:71" s="84" customFormat="1" ht="15" customHeight="1" x14ac:dyDescent="0.35">
      <c r="A117" s="92">
        <f>'Popis del_fasada'!A134</f>
        <v>4</v>
      </c>
      <c r="B117" s="69" t="s">
        <v>102</v>
      </c>
      <c r="C117" s="56">
        <f>0.15+10.57+0.15</f>
        <v>10.870000000000001</v>
      </c>
      <c r="D117" s="56">
        <f>D106+D107</f>
        <v>8.7800000000000011</v>
      </c>
      <c r="E117" s="56"/>
      <c r="F117" s="72"/>
      <c r="G117" s="56"/>
      <c r="H117" s="72"/>
      <c r="I117" s="72"/>
      <c r="J117" s="72"/>
      <c r="K117" s="72"/>
      <c r="L117" s="72"/>
      <c r="M117" s="72"/>
      <c r="N117" s="72"/>
      <c r="O117" s="72"/>
      <c r="P117" s="72"/>
      <c r="Q117" s="72"/>
      <c r="R117" s="72"/>
      <c r="S117" s="72"/>
      <c r="T117" s="56"/>
      <c r="U117" s="72"/>
      <c r="V117" s="72"/>
      <c r="W117" s="72"/>
      <c r="X117" s="72"/>
      <c r="Y117" s="56"/>
      <c r="Z117" s="72"/>
      <c r="AA117" s="72"/>
      <c r="AB117" s="72"/>
      <c r="AC117" s="56"/>
      <c r="AD117" s="56"/>
      <c r="AE117" s="56"/>
      <c r="AF117" s="56"/>
      <c r="AG117" s="56"/>
      <c r="AI117" s="56"/>
      <c r="AJ117" s="72"/>
      <c r="AK117" s="72"/>
      <c r="AL117" s="72"/>
      <c r="AM117" s="56"/>
      <c r="AN117" s="72"/>
      <c r="AO117" s="72"/>
      <c r="AP117" s="72"/>
      <c r="AQ117" s="72">
        <f>C117*D117</f>
        <v>95.438600000000022</v>
      </c>
      <c r="AR117" s="72"/>
      <c r="AS117" s="72"/>
      <c r="AT117" s="56"/>
      <c r="AU117" s="72"/>
      <c r="AV117" s="72"/>
      <c r="AW117" s="72"/>
      <c r="AX117" s="72"/>
      <c r="AY117" s="72"/>
      <c r="AZ117" s="72"/>
      <c r="BA117" s="72"/>
      <c r="BB117" s="72"/>
      <c r="BC117" s="72"/>
      <c r="BD117" s="72"/>
      <c r="BE117" s="72"/>
      <c r="BF117" s="72"/>
      <c r="BG117" s="56"/>
      <c r="BH117" s="99"/>
      <c r="BI117" s="99"/>
      <c r="BJ117" s="99"/>
      <c r="BK117" s="99"/>
      <c r="BM117" s="56"/>
      <c r="BN117" s="56"/>
      <c r="BO117" s="56"/>
      <c r="BQ117" s="99"/>
      <c r="BR117" s="99"/>
      <c r="BS117" s="99"/>
    </row>
    <row r="118" spans="1:71" s="84" customFormat="1" ht="15" customHeight="1" x14ac:dyDescent="0.35">
      <c r="A118" s="92">
        <f>'Popis del_fasada'!A136</f>
        <v>5</v>
      </c>
      <c r="B118" s="69" t="s">
        <v>127</v>
      </c>
      <c r="C118" s="56"/>
      <c r="D118" s="56"/>
      <c r="E118" s="56"/>
      <c r="F118" s="56"/>
      <c r="G118" s="56"/>
      <c r="H118" s="72"/>
      <c r="I118" s="72"/>
      <c r="J118" s="72"/>
      <c r="K118" s="72"/>
      <c r="L118" s="72"/>
      <c r="M118" s="72"/>
      <c r="N118" s="72"/>
      <c r="O118" s="72"/>
      <c r="P118" s="72"/>
      <c r="Q118" s="72"/>
      <c r="R118" s="72"/>
      <c r="S118" s="72"/>
      <c r="T118" s="56"/>
      <c r="U118" s="72"/>
      <c r="V118" s="72"/>
      <c r="W118" s="72"/>
      <c r="X118" s="72"/>
      <c r="Y118" s="56"/>
      <c r="Z118" s="72"/>
      <c r="AA118" s="72"/>
      <c r="AB118" s="72"/>
      <c r="AC118" s="56"/>
      <c r="AD118" s="56"/>
      <c r="AE118" s="56"/>
      <c r="AF118" s="56"/>
      <c r="AG118" s="56"/>
      <c r="AI118" s="56"/>
      <c r="AJ118" s="72"/>
      <c r="AK118" s="72"/>
      <c r="AL118" s="72"/>
      <c r="AM118" s="56"/>
      <c r="AN118" s="72"/>
      <c r="AO118" s="72"/>
      <c r="AP118" s="72"/>
      <c r="AQ118" s="72"/>
      <c r="AR118" s="72"/>
      <c r="AS118" s="72"/>
      <c r="AT118" s="56"/>
      <c r="AU118" s="72"/>
      <c r="AV118" s="72"/>
      <c r="AW118" s="72"/>
      <c r="AX118" s="72"/>
      <c r="AY118" s="72"/>
      <c r="AZ118" s="72"/>
      <c r="BA118" s="72"/>
      <c r="BB118" s="72"/>
      <c r="BC118" s="72"/>
      <c r="BD118" s="72"/>
      <c r="BE118" s="72"/>
      <c r="BF118" s="72"/>
      <c r="BG118" s="56"/>
      <c r="BH118" s="99">
        <f>C118*D118*E118</f>
        <v>0</v>
      </c>
      <c r="BI118" s="99"/>
      <c r="BJ118" s="99"/>
      <c r="BK118" s="99"/>
      <c r="BM118" s="56"/>
      <c r="BN118" s="56"/>
      <c r="BO118" s="56"/>
      <c r="BQ118" s="99"/>
      <c r="BR118" s="99"/>
      <c r="BS118" s="99"/>
    </row>
    <row r="119" spans="1:71" s="84" customFormat="1" ht="15" customHeight="1" x14ac:dyDescent="0.35">
      <c r="A119" s="92"/>
      <c r="B119" s="69" t="s">
        <v>171</v>
      </c>
      <c r="C119" s="56">
        <f>2*3.14*0.1</f>
        <v>0.62800000000000011</v>
      </c>
      <c r="D119" s="56">
        <v>2.75</v>
      </c>
      <c r="E119" s="56">
        <v>2</v>
      </c>
      <c r="F119" s="56"/>
      <c r="G119" s="56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  <c r="T119" s="56"/>
      <c r="U119" s="72"/>
      <c r="V119" s="72"/>
      <c r="W119" s="72"/>
      <c r="X119" s="72"/>
      <c r="Y119" s="56"/>
      <c r="Z119" s="72"/>
      <c r="AA119" s="72"/>
      <c r="AB119" s="72"/>
      <c r="AC119" s="56"/>
      <c r="AD119" s="56"/>
      <c r="AE119" s="56"/>
      <c r="AF119" s="56"/>
      <c r="AG119" s="56"/>
      <c r="AI119" s="56"/>
      <c r="AJ119" s="72"/>
      <c r="AK119" s="72"/>
      <c r="AL119" s="72"/>
      <c r="AM119" s="56"/>
      <c r="AN119" s="72"/>
      <c r="AO119" s="72"/>
      <c r="AP119" s="72"/>
      <c r="AQ119" s="72"/>
      <c r="AR119" s="72">
        <f>C119*D119*E119</f>
        <v>3.4540000000000006</v>
      </c>
      <c r="AS119" s="72"/>
      <c r="AT119" s="56"/>
      <c r="AU119" s="72"/>
      <c r="AV119" s="72"/>
      <c r="AW119" s="72"/>
      <c r="AX119" s="72"/>
      <c r="AY119" s="72"/>
      <c r="AZ119" s="72"/>
      <c r="BA119" s="72"/>
      <c r="BB119" s="72"/>
      <c r="BC119" s="72"/>
      <c r="BD119" s="72"/>
      <c r="BE119" s="72"/>
      <c r="BF119" s="72"/>
      <c r="BG119" s="56"/>
      <c r="BH119" s="99"/>
      <c r="BI119" s="99"/>
      <c r="BJ119" s="99"/>
      <c r="BK119" s="99"/>
      <c r="BM119" s="56"/>
      <c r="BN119" s="56"/>
      <c r="BO119" s="56"/>
      <c r="BQ119" s="99"/>
      <c r="BR119" s="99"/>
      <c r="BS119" s="99"/>
    </row>
    <row r="120" spans="1:71" s="84" customFormat="1" ht="15" customHeight="1" x14ac:dyDescent="0.35">
      <c r="A120" s="92"/>
      <c r="B120" s="69"/>
      <c r="C120" s="56">
        <f>2*3.14*0.1</f>
        <v>0.62800000000000011</v>
      </c>
      <c r="D120" s="56">
        <v>1</v>
      </c>
      <c r="E120" s="56">
        <v>1</v>
      </c>
      <c r="F120" s="56"/>
      <c r="G120" s="56"/>
      <c r="H120" s="72"/>
      <c r="I120" s="72"/>
      <c r="J120" s="72"/>
      <c r="K120" s="72"/>
      <c r="L120" s="72"/>
      <c r="M120" s="72"/>
      <c r="N120" s="72"/>
      <c r="O120" s="72"/>
      <c r="P120" s="72"/>
      <c r="Q120" s="72"/>
      <c r="R120" s="72"/>
      <c r="S120" s="72"/>
      <c r="T120" s="56"/>
      <c r="U120" s="72"/>
      <c r="V120" s="72"/>
      <c r="W120" s="72"/>
      <c r="X120" s="72"/>
      <c r="Y120" s="56"/>
      <c r="Z120" s="72"/>
      <c r="AA120" s="72"/>
      <c r="AB120" s="72"/>
      <c r="AC120" s="56"/>
      <c r="AD120" s="56"/>
      <c r="AE120" s="56"/>
      <c r="AF120" s="56"/>
      <c r="AG120" s="56"/>
      <c r="AI120" s="56"/>
      <c r="AJ120" s="72"/>
      <c r="AK120" s="72"/>
      <c r="AL120" s="72"/>
      <c r="AM120" s="56"/>
      <c r="AN120" s="72"/>
      <c r="AO120" s="72"/>
      <c r="AP120" s="72"/>
      <c r="AQ120" s="72"/>
      <c r="AR120" s="72">
        <f>C120*D120*E120</f>
        <v>0.62800000000000011</v>
      </c>
      <c r="AS120" s="72"/>
      <c r="AT120" s="56"/>
      <c r="AU120" s="72"/>
      <c r="AV120" s="72"/>
      <c r="AW120" s="72"/>
      <c r="AX120" s="72"/>
      <c r="AY120" s="72"/>
      <c r="AZ120" s="72"/>
      <c r="BA120" s="72"/>
      <c r="BB120" s="72"/>
      <c r="BC120" s="72"/>
      <c r="BD120" s="72"/>
      <c r="BE120" s="72"/>
      <c r="BF120" s="72"/>
      <c r="BG120" s="56"/>
      <c r="BH120" s="99"/>
      <c r="BI120" s="99"/>
      <c r="BJ120" s="99"/>
      <c r="BK120" s="99"/>
      <c r="BM120" s="56"/>
      <c r="BN120" s="56"/>
      <c r="BO120" s="56"/>
      <c r="BQ120" s="99"/>
      <c r="BR120" s="99"/>
      <c r="BS120" s="99"/>
    </row>
    <row r="121" spans="1:71" s="84" customFormat="1" ht="15" customHeight="1" x14ac:dyDescent="0.35">
      <c r="A121" s="92"/>
      <c r="B121" s="69"/>
      <c r="C121" s="56"/>
      <c r="D121" s="56"/>
      <c r="E121" s="56"/>
      <c r="F121" s="56"/>
      <c r="G121" s="56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72"/>
      <c r="S121" s="72"/>
      <c r="T121" s="56"/>
      <c r="U121" s="72"/>
      <c r="V121" s="72"/>
      <c r="W121" s="72"/>
      <c r="X121" s="72"/>
      <c r="Y121" s="56"/>
      <c r="Z121" s="72"/>
      <c r="AA121" s="72"/>
      <c r="AB121" s="72"/>
      <c r="AC121" s="56"/>
      <c r="AD121" s="56"/>
      <c r="AE121" s="56"/>
      <c r="AF121" s="56"/>
      <c r="AG121" s="56"/>
      <c r="AI121" s="56"/>
      <c r="AJ121" s="72"/>
      <c r="AK121" s="72"/>
      <c r="AL121" s="72"/>
      <c r="AM121" s="56"/>
      <c r="AN121" s="72"/>
      <c r="AO121" s="72"/>
      <c r="AP121" s="72"/>
      <c r="AQ121" s="72"/>
      <c r="AR121" s="72"/>
      <c r="AS121" s="72"/>
      <c r="AT121" s="56"/>
      <c r="AU121" s="72"/>
      <c r="AV121" s="72"/>
      <c r="AW121" s="72"/>
      <c r="AX121" s="72"/>
      <c r="AY121" s="72"/>
      <c r="AZ121" s="72"/>
      <c r="BA121" s="72"/>
      <c r="BB121" s="72"/>
      <c r="BC121" s="72"/>
      <c r="BD121" s="72"/>
      <c r="BE121" s="72"/>
      <c r="BF121" s="72"/>
      <c r="BG121" s="56"/>
      <c r="BH121" s="99"/>
      <c r="BI121" s="99"/>
      <c r="BJ121" s="99"/>
      <c r="BK121" s="99"/>
      <c r="BM121" s="56"/>
      <c r="BN121" s="56"/>
      <c r="BO121" s="56"/>
      <c r="BQ121" s="99"/>
      <c r="BR121" s="99"/>
      <c r="BS121" s="99"/>
    </row>
    <row r="122" spans="1:71" s="84" customFormat="1" ht="15" customHeight="1" x14ac:dyDescent="0.35">
      <c r="A122" s="92"/>
      <c r="B122" s="69"/>
      <c r="C122" s="56"/>
      <c r="D122" s="56"/>
      <c r="E122" s="56"/>
      <c r="F122" s="56"/>
      <c r="G122" s="56"/>
      <c r="H122" s="72"/>
      <c r="I122" s="72"/>
      <c r="J122" s="72"/>
      <c r="K122" s="72"/>
      <c r="L122" s="72"/>
      <c r="M122" s="72"/>
      <c r="N122" s="72"/>
      <c r="O122" s="72"/>
      <c r="P122" s="72"/>
      <c r="Q122" s="72"/>
      <c r="R122" s="72"/>
      <c r="S122" s="72"/>
      <c r="T122" s="56"/>
      <c r="U122" s="72"/>
      <c r="V122" s="72"/>
      <c r="W122" s="72"/>
      <c r="X122" s="72"/>
      <c r="Y122" s="56"/>
      <c r="Z122" s="72"/>
      <c r="AA122" s="72"/>
      <c r="AB122" s="72"/>
      <c r="AC122" s="56"/>
      <c r="AD122" s="56"/>
      <c r="AE122" s="56"/>
      <c r="AF122" s="56"/>
      <c r="AG122" s="56"/>
      <c r="AI122" s="56"/>
      <c r="AJ122" s="72"/>
      <c r="AK122" s="72"/>
      <c r="AL122" s="72"/>
      <c r="AM122" s="56"/>
      <c r="AN122" s="72"/>
      <c r="AO122" s="72"/>
      <c r="AP122" s="72"/>
      <c r="AQ122" s="72"/>
      <c r="AR122" s="72"/>
      <c r="AS122" s="72"/>
      <c r="AT122" s="56"/>
      <c r="AU122" s="72"/>
      <c r="AV122" s="72"/>
      <c r="AW122" s="72"/>
      <c r="AX122" s="72"/>
      <c r="AY122" s="72"/>
      <c r="AZ122" s="72"/>
      <c r="BA122" s="72"/>
      <c r="BB122" s="72"/>
      <c r="BC122" s="72"/>
      <c r="BD122" s="72"/>
      <c r="BE122" s="72"/>
      <c r="BF122" s="72"/>
      <c r="BG122" s="56"/>
      <c r="BH122" s="99"/>
      <c r="BI122" s="99"/>
      <c r="BJ122" s="99"/>
      <c r="BK122" s="99"/>
      <c r="BM122" s="56"/>
      <c r="BN122" s="56"/>
      <c r="BO122" s="56"/>
      <c r="BQ122" s="99"/>
      <c r="BR122" s="99"/>
      <c r="BS122" s="99"/>
    </row>
    <row r="123" spans="1:71" s="84" customFormat="1" ht="15" customHeight="1" x14ac:dyDescent="0.35">
      <c r="A123" s="92"/>
      <c r="B123" s="69" t="str">
        <f>'Popis del_fasada'!B141</f>
        <v>KLEPARSKA DELA</v>
      </c>
      <c r="C123" s="72"/>
      <c r="D123" s="72"/>
      <c r="E123" s="72"/>
      <c r="F123" s="56"/>
      <c r="G123" s="56"/>
      <c r="H123" s="72"/>
      <c r="I123" s="72"/>
      <c r="J123" s="72"/>
      <c r="K123" s="72"/>
      <c r="L123" s="72"/>
      <c r="M123" s="72"/>
      <c r="N123" s="72"/>
      <c r="O123" s="72"/>
      <c r="P123" s="72"/>
      <c r="Q123" s="72"/>
      <c r="R123" s="72"/>
      <c r="S123" s="72"/>
      <c r="T123" s="56"/>
      <c r="U123" s="72"/>
      <c r="V123" s="72"/>
      <c r="W123" s="72"/>
      <c r="X123" s="72"/>
      <c r="Y123" s="56"/>
      <c r="Z123" s="72"/>
      <c r="AA123" s="72"/>
      <c r="AB123" s="72"/>
      <c r="AC123" s="56"/>
      <c r="AD123" s="56"/>
      <c r="AE123" s="56"/>
      <c r="AF123" s="56"/>
      <c r="AG123" s="56"/>
      <c r="AI123" s="56"/>
      <c r="AJ123" s="72"/>
      <c r="AK123" s="72"/>
      <c r="AL123" s="72"/>
      <c r="AM123" s="56"/>
      <c r="AN123" s="72"/>
      <c r="AO123" s="72"/>
      <c r="AP123" s="72"/>
      <c r="AQ123" s="72"/>
      <c r="AR123" s="72"/>
      <c r="AS123" s="72"/>
      <c r="AT123" s="56"/>
      <c r="AU123" s="72"/>
      <c r="AV123" s="72"/>
      <c r="AW123" s="72"/>
      <c r="AX123" s="72"/>
      <c r="AY123" s="72"/>
      <c r="AZ123" s="72"/>
      <c r="BA123" s="72"/>
      <c r="BB123" s="72"/>
      <c r="BC123" s="72"/>
      <c r="BD123" s="72"/>
      <c r="BE123" s="72"/>
      <c r="BF123" s="72"/>
      <c r="BG123" s="56"/>
      <c r="BH123" s="99">
        <f>C123*D123*E123</f>
        <v>0</v>
      </c>
      <c r="BI123" s="99"/>
      <c r="BJ123" s="99"/>
      <c r="BK123" s="99"/>
      <c r="BM123" s="56"/>
      <c r="BN123" s="56"/>
      <c r="BO123" s="56"/>
      <c r="BQ123" s="99"/>
      <c r="BR123" s="99"/>
      <c r="BS123" s="99"/>
    </row>
    <row r="124" spans="1:71" s="84" customFormat="1" ht="15" customHeight="1" x14ac:dyDescent="0.35">
      <c r="A124" s="92">
        <f>'Popis del_fasada'!A143</f>
        <v>1</v>
      </c>
      <c r="B124" s="69" t="s">
        <v>113</v>
      </c>
      <c r="C124" s="99">
        <v>2.95</v>
      </c>
      <c r="D124" s="56"/>
      <c r="E124" s="56"/>
      <c r="F124" s="56"/>
      <c r="G124" s="56"/>
      <c r="H124" s="72"/>
      <c r="I124" s="72"/>
      <c r="J124" s="72"/>
      <c r="K124" s="72"/>
      <c r="L124" s="72"/>
      <c r="M124" s="72"/>
      <c r="N124" s="72"/>
      <c r="O124" s="72"/>
      <c r="P124" s="72"/>
      <c r="Q124" s="72"/>
      <c r="R124" s="72"/>
      <c r="S124" s="72"/>
      <c r="T124" s="56"/>
      <c r="U124" s="72"/>
      <c r="V124" s="72"/>
      <c r="W124" s="72"/>
      <c r="X124" s="72"/>
      <c r="Y124" s="56"/>
      <c r="Z124" s="72"/>
      <c r="AA124" s="72"/>
      <c r="AB124" s="72"/>
      <c r="AC124" s="56"/>
      <c r="AD124" s="56"/>
      <c r="AE124" s="56"/>
      <c r="AF124" s="56"/>
      <c r="AG124" s="56"/>
      <c r="AI124" s="56"/>
      <c r="AJ124" s="72"/>
      <c r="AK124" s="72"/>
      <c r="AL124" s="72"/>
      <c r="AM124" s="56"/>
      <c r="AN124" s="72"/>
      <c r="AO124" s="72"/>
      <c r="AP124" s="72"/>
      <c r="AQ124" s="72"/>
      <c r="AR124" s="72"/>
      <c r="AS124" s="72"/>
      <c r="AT124" s="56"/>
      <c r="AU124" s="72">
        <f>C124</f>
        <v>2.95</v>
      </c>
      <c r="AV124" s="72"/>
      <c r="AW124" s="72"/>
      <c r="AX124" s="72"/>
      <c r="AY124" s="72"/>
      <c r="AZ124" s="72"/>
      <c r="BA124" s="72"/>
      <c r="BB124" s="72"/>
      <c r="BC124" s="72"/>
      <c r="BD124" s="72"/>
      <c r="BE124" s="72"/>
      <c r="BF124" s="72"/>
      <c r="BG124" s="56"/>
      <c r="BH124" s="99">
        <f>C124*D124*E124</f>
        <v>0</v>
      </c>
      <c r="BI124" s="99"/>
      <c r="BJ124" s="99"/>
      <c r="BK124" s="99"/>
      <c r="BM124" s="56"/>
      <c r="BN124" s="56"/>
      <c r="BO124" s="56"/>
      <c r="BQ124" s="99"/>
      <c r="BR124" s="99"/>
      <c r="BS124" s="99"/>
    </row>
    <row r="125" spans="1:71" s="84" customFormat="1" ht="15" customHeight="1" x14ac:dyDescent="0.35">
      <c r="A125" s="92">
        <f>'Popis del_fasada'!A145</f>
        <v>2</v>
      </c>
      <c r="B125" s="69" t="s">
        <v>183</v>
      </c>
      <c r="C125" s="99">
        <f>0.2+2.5+0.2</f>
        <v>2.9000000000000004</v>
      </c>
      <c r="D125" s="56">
        <f>0.2+0.8+0.2</f>
        <v>1.2</v>
      </c>
      <c r="E125" s="56"/>
      <c r="F125" s="56"/>
      <c r="G125" s="56"/>
      <c r="H125" s="72"/>
      <c r="I125" s="72"/>
      <c r="J125" s="72"/>
      <c r="K125" s="72"/>
      <c r="L125" s="72"/>
      <c r="M125" s="72"/>
      <c r="N125" s="72"/>
      <c r="O125" s="72"/>
      <c r="P125" s="72"/>
      <c r="Q125" s="72"/>
      <c r="R125" s="72"/>
      <c r="S125" s="72"/>
      <c r="T125" s="56"/>
      <c r="U125" s="72"/>
      <c r="V125" s="72"/>
      <c r="W125" s="72"/>
      <c r="X125" s="72"/>
      <c r="Y125" s="56"/>
      <c r="Z125" s="72"/>
      <c r="AA125" s="72"/>
      <c r="AB125" s="72"/>
      <c r="AC125" s="56"/>
      <c r="AD125" s="56"/>
      <c r="AE125" s="56"/>
      <c r="AF125" s="56"/>
      <c r="AG125" s="56"/>
      <c r="AI125" s="56"/>
      <c r="AJ125" s="72"/>
      <c r="AK125" s="72"/>
      <c r="AL125" s="72"/>
      <c r="AM125" s="56"/>
      <c r="AN125" s="72"/>
      <c r="AO125" s="72"/>
      <c r="AP125" s="72"/>
      <c r="AQ125" s="72"/>
      <c r="AR125" s="72"/>
      <c r="AS125" s="72"/>
      <c r="AT125" s="56"/>
      <c r="AU125" s="72"/>
      <c r="AV125" s="72">
        <f>C125*D125</f>
        <v>3.4800000000000004</v>
      </c>
      <c r="AW125" s="72"/>
      <c r="AX125" s="72"/>
      <c r="AY125" s="72"/>
      <c r="AZ125" s="72"/>
      <c r="BA125" s="72"/>
      <c r="BB125" s="72"/>
      <c r="BC125" s="72"/>
      <c r="BD125" s="72"/>
      <c r="BE125" s="72"/>
      <c r="BF125" s="72"/>
      <c r="BG125" s="56"/>
      <c r="BH125" s="99"/>
      <c r="BI125" s="99"/>
      <c r="BJ125" s="99"/>
      <c r="BK125" s="99"/>
      <c r="BM125" s="56"/>
      <c r="BN125" s="56"/>
      <c r="BO125" s="56"/>
      <c r="BQ125" s="99"/>
      <c r="BR125" s="99"/>
      <c r="BS125" s="99"/>
    </row>
    <row r="126" spans="1:71" s="84" customFormat="1" ht="15" customHeight="1" x14ac:dyDescent="0.35">
      <c r="A126" s="92">
        <f>'Popis del_fasada'!A147</f>
        <v>3</v>
      </c>
      <c r="B126" s="69" t="s">
        <v>185</v>
      </c>
      <c r="C126" s="99">
        <v>2.5</v>
      </c>
      <c r="D126" s="56"/>
      <c r="E126" s="56"/>
      <c r="F126" s="56"/>
      <c r="G126" s="56"/>
      <c r="H126" s="72"/>
      <c r="I126" s="72"/>
      <c r="J126" s="72"/>
      <c r="K126" s="72"/>
      <c r="L126" s="72"/>
      <c r="M126" s="72"/>
      <c r="N126" s="72"/>
      <c r="O126" s="72"/>
      <c r="P126" s="72"/>
      <c r="Q126" s="72"/>
      <c r="R126" s="72"/>
      <c r="S126" s="72"/>
      <c r="T126" s="56"/>
      <c r="U126" s="72"/>
      <c r="V126" s="72"/>
      <c r="W126" s="72"/>
      <c r="X126" s="72"/>
      <c r="Y126" s="56"/>
      <c r="Z126" s="72"/>
      <c r="AA126" s="72"/>
      <c r="AB126" s="72"/>
      <c r="AC126" s="56"/>
      <c r="AD126" s="56"/>
      <c r="AE126" s="56"/>
      <c r="AF126" s="56"/>
      <c r="AG126" s="56"/>
      <c r="AI126" s="56"/>
      <c r="AJ126" s="72"/>
      <c r="AK126" s="72"/>
      <c r="AL126" s="72"/>
      <c r="AM126" s="56"/>
      <c r="AN126" s="72"/>
      <c r="AO126" s="72"/>
      <c r="AP126" s="72"/>
      <c r="AQ126" s="72"/>
      <c r="AR126" s="72"/>
      <c r="AS126" s="72"/>
      <c r="AT126" s="56"/>
      <c r="AU126" s="72"/>
      <c r="AV126" s="72"/>
      <c r="AW126" s="72">
        <f>C126</f>
        <v>2.5</v>
      </c>
      <c r="AX126" s="72"/>
      <c r="AY126" s="72"/>
      <c r="AZ126" s="72"/>
      <c r="BA126" s="72"/>
      <c r="BB126" s="72"/>
      <c r="BC126" s="72"/>
      <c r="BD126" s="72"/>
      <c r="BE126" s="72"/>
      <c r="BF126" s="72"/>
      <c r="BG126" s="56"/>
      <c r="BH126" s="99"/>
      <c r="BI126" s="99"/>
      <c r="BJ126" s="99"/>
      <c r="BK126" s="99"/>
      <c r="BM126" s="56"/>
      <c r="BN126" s="56"/>
      <c r="BO126" s="56"/>
      <c r="BQ126" s="99"/>
      <c r="BR126" s="99"/>
      <c r="BS126" s="99"/>
    </row>
    <row r="127" spans="1:71" s="84" customFormat="1" ht="15" customHeight="1" x14ac:dyDescent="0.35">
      <c r="A127" s="92">
        <f>'Popis del_fasada'!A149</f>
        <v>4</v>
      </c>
      <c r="B127" s="69" t="s">
        <v>187</v>
      </c>
      <c r="C127" s="99">
        <f>2.16+0.8+0.2</f>
        <v>3.16</v>
      </c>
      <c r="D127" s="56"/>
      <c r="E127" s="56"/>
      <c r="F127" s="56"/>
      <c r="G127" s="56"/>
      <c r="H127" s="72"/>
      <c r="I127" s="72"/>
      <c r="J127" s="72"/>
      <c r="K127" s="72"/>
      <c r="L127" s="72"/>
      <c r="M127" s="72"/>
      <c r="N127" s="72"/>
      <c r="O127" s="72"/>
      <c r="P127" s="72"/>
      <c r="Q127" s="72"/>
      <c r="R127" s="72"/>
      <c r="S127" s="72"/>
      <c r="T127" s="56"/>
      <c r="U127" s="72"/>
      <c r="V127" s="72"/>
      <c r="W127" s="72"/>
      <c r="X127" s="72"/>
      <c r="Y127" s="56"/>
      <c r="Z127" s="72"/>
      <c r="AA127" s="72"/>
      <c r="AB127" s="72"/>
      <c r="AC127" s="56"/>
      <c r="AD127" s="56"/>
      <c r="AE127" s="56"/>
      <c r="AF127" s="56"/>
      <c r="AG127" s="56"/>
      <c r="AI127" s="56"/>
      <c r="AJ127" s="72"/>
      <c r="AK127" s="72"/>
      <c r="AL127" s="72"/>
      <c r="AM127" s="56"/>
      <c r="AN127" s="72"/>
      <c r="AO127" s="72"/>
      <c r="AP127" s="72"/>
      <c r="AQ127" s="72"/>
      <c r="AR127" s="72"/>
      <c r="AS127" s="72"/>
      <c r="AT127" s="56"/>
      <c r="AU127" s="72"/>
      <c r="AV127" s="72"/>
      <c r="AW127" s="72"/>
      <c r="AX127" s="72">
        <f>C127</f>
        <v>3.16</v>
      </c>
      <c r="AY127" s="72"/>
      <c r="AZ127" s="72"/>
      <c r="BA127" s="72"/>
      <c r="BB127" s="72"/>
      <c r="BC127" s="72"/>
      <c r="BD127" s="72"/>
      <c r="BE127" s="72"/>
      <c r="BF127" s="72"/>
      <c r="BG127" s="56"/>
      <c r="BH127" s="99"/>
      <c r="BI127" s="99"/>
      <c r="BJ127" s="99"/>
      <c r="BK127" s="99"/>
      <c r="BM127" s="56"/>
      <c r="BN127" s="56"/>
      <c r="BO127" s="56"/>
      <c r="BQ127" s="99"/>
      <c r="BR127" s="99"/>
      <c r="BS127" s="99"/>
    </row>
    <row r="128" spans="1:71" s="84" customFormat="1" ht="15" customHeight="1" x14ac:dyDescent="0.35">
      <c r="A128" s="92"/>
      <c r="B128" s="69"/>
      <c r="C128" s="99"/>
      <c r="D128" s="56"/>
      <c r="E128" s="56"/>
      <c r="F128" s="56"/>
      <c r="G128" s="56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  <c r="T128" s="56"/>
      <c r="U128" s="72"/>
      <c r="V128" s="72"/>
      <c r="W128" s="72"/>
      <c r="X128" s="72"/>
      <c r="Y128" s="56"/>
      <c r="Z128" s="72"/>
      <c r="AA128" s="72"/>
      <c r="AB128" s="72"/>
      <c r="AC128" s="56"/>
      <c r="AD128" s="56"/>
      <c r="AE128" s="56"/>
      <c r="AF128" s="56"/>
      <c r="AG128" s="56"/>
      <c r="AI128" s="56"/>
      <c r="AJ128" s="72"/>
      <c r="AK128" s="72"/>
      <c r="AL128" s="72"/>
      <c r="AM128" s="56"/>
      <c r="AN128" s="72"/>
      <c r="AO128" s="72"/>
      <c r="AP128" s="72"/>
      <c r="AQ128" s="72"/>
      <c r="AR128" s="72"/>
      <c r="AS128" s="72"/>
      <c r="AT128" s="56"/>
      <c r="AU128" s="72"/>
      <c r="AV128" s="72"/>
      <c r="AW128" s="72"/>
      <c r="AX128" s="72"/>
      <c r="AY128" s="72"/>
      <c r="AZ128" s="72"/>
      <c r="BA128" s="72"/>
      <c r="BB128" s="72"/>
      <c r="BC128" s="72"/>
      <c r="BD128" s="72"/>
      <c r="BE128" s="72"/>
      <c r="BF128" s="72"/>
      <c r="BG128" s="56"/>
      <c r="BH128" s="99"/>
      <c r="BI128" s="99"/>
      <c r="BJ128" s="99"/>
      <c r="BK128" s="99"/>
      <c r="BM128" s="56"/>
      <c r="BN128" s="56"/>
      <c r="BO128" s="56"/>
      <c r="BQ128" s="99"/>
      <c r="BR128" s="99"/>
      <c r="BS128" s="99"/>
    </row>
    <row r="129" spans="1:71" s="84" customFormat="1" ht="15" customHeight="1" x14ac:dyDescent="0.35">
      <c r="A129" s="92"/>
      <c r="B129" s="69" t="str">
        <f>'Popis del_fasada'!B153</f>
        <v>KERAMIČARSKA DELA</v>
      </c>
      <c r="C129" s="99"/>
      <c r="D129" s="56"/>
      <c r="E129" s="56"/>
      <c r="F129" s="56"/>
      <c r="G129" s="56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56"/>
      <c r="U129" s="72"/>
      <c r="V129" s="72"/>
      <c r="W129" s="72"/>
      <c r="X129" s="72"/>
      <c r="Y129" s="56"/>
      <c r="Z129" s="72"/>
      <c r="AA129" s="72"/>
      <c r="AB129" s="72"/>
      <c r="AC129" s="56"/>
      <c r="AD129" s="56"/>
      <c r="AE129" s="56"/>
      <c r="AF129" s="56"/>
      <c r="AG129" s="56"/>
      <c r="AI129" s="56"/>
      <c r="AJ129" s="72"/>
      <c r="AK129" s="72"/>
      <c r="AL129" s="72"/>
      <c r="AM129" s="56"/>
      <c r="AN129" s="72"/>
      <c r="AO129" s="72"/>
      <c r="AP129" s="72"/>
      <c r="AQ129" s="72"/>
      <c r="AR129" s="72"/>
      <c r="AS129" s="72"/>
      <c r="AT129" s="56"/>
      <c r="AU129" s="72"/>
      <c r="AV129" s="72"/>
      <c r="AW129" s="72"/>
      <c r="AX129" s="72"/>
      <c r="AY129" s="72"/>
      <c r="AZ129" s="72"/>
      <c r="BA129" s="72"/>
      <c r="BB129" s="72"/>
      <c r="BC129" s="72"/>
      <c r="BD129" s="72"/>
      <c r="BE129" s="72"/>
      <c r="BF129" s="72"/>
      <c r="BG129" s="56"/>
      <c r="BH129" s="99"/>
      <c r="BI129" s="99"/>
      <c r="BJ129" s="99"/>
      <c r="BK129" s="99"/>
      <c r="BM129" s="56"/>
      <c r="BN129" s="56"/>
      <c r="BO129" s="56"/>
      <c r="BQ129" s="99"/>
      <c r="BR129" s="99"/>
      <c r="BS129" s="99"/>
    </row>
    <row r="130" spans="1:71" s="84" customFormat="1" ht="15" customHeight="1" x14ac:dyDescent="0.35">
      <c r="A130" s="92" t="str">
        <f>'Popis del_fasada'!A155</f>
        <v>1</v>
      </c>
      <c r="B130" s="69" t="s">
        <v>197</v>
      </c>
      <c r="C130" s="99">
        <v>3.24</v>
      </c>
      <c r="D130" s="56">
        <v>1.8</v>
      </c>
      <c r="E130" s="56">
        <v>2</v>
      </c>
      <c r="F130" s="56"/>
      <c r="G130" s="56"/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56"/>
      <c r="U130" s="72"/>
      <c r="V130" s="72"/>
      <c r="W130" s="72"/>
      <c r="X130" s="72"/>
      <c r="Y130" s="56"/>
      <c r="Z130" s="72"/>
      <c r="AA130" s="72"/>
      <c r="AB130" s="72"/>
      <c r="AC130" s="56"/>
      <c r="AD130" s="56"/>
      <c r="AE130" s="56"/>
      <c r="AF130" s="56"/>
      <c r="AG130" s="56"/>
      <c r="AI130" s="56"/>
      <c r="AJ130" s="72"/>
      <c r="AK130" s="72"/>
      <c r="AL130" s="72"/>
      <c r="AM130" s="56"/>
      <c r="AN130" s="72"/>
      <c r="AO130" s="72"/>
      <c r="AP130" s="72"/>
      <c r="AQ130" s="72"/>
      <c r="AR130" s="72"/>
      <c r="AS130" s="72"/>
      <c r="AT130" s="56"/>
      <c r="AU130" s="72"/>
      <c r="AV130" s="72"/>
      <c r="AW130" s="72"/>
      <c r="AX130" s="72"/>
      <c r="AY130" s="72"/>
      <c r="AZ130" s="72"/>
      <c r="BA130" s="72">
        <f>C130*D130*E130</f>
        <v>11.664000000000001</v>
      </c>
      <c r="BB130" s="72"/>
      <c r="BC130" s="72"/>
      <c r="BD130" s="72"/>
      <c r="BE130" s="72"/>
      <c r="BF130" s="72"/>
      <c r="BG130" s="56"/>
      <c r="BH130" s="99"/>
      <c r="BI130" s="99"/>
      <c r="BJ130" s="99"/>
      <c r="BK130" s="99"/>
      <c r="BM130" s="56"/>
      <c r="BN130" s="56"/>
      <c r="BO130" s="56"/>
      <c r="BQ130" s="99"/>
      <c r="BR130" s="99"/>
      <c r="BS130" s="99"/>
    </row>
    <row r="131" spans="1:71" s="84" customFormat="1" ht="15" customHeight="1" x14ac:dyDescent="0.35">
      <c r="A131" s="92"/>
      <c r="B131" s="69"/>
      <c r="C131" s="99">
        <v>1.1399999999999999</v>
      </c>
      <c r="D131" s="56">
        <v>1.45</v>
      </c>
      <c r="E131" s="56">
        <v>1</v>
      </c>
      <c r="F131" s="56"/>
      <c r="G131" s="56"/>
      <c r="H131" s="72"/>
      <c r="I131" s="72"/>
      <c r="J131" s="72"/>
      <c r="K131" s="72"/>
      <c r="L131" s="72"/>
      <c r="M131" s="72"/>
      <c r="N131" s="72"/>
      <c r="O131" s="72"/>
      <c r="P131" s="72"/>
      <c r="Q131" s="72"/>
      <c r="R131" s="72"/>
      <c r="S131" s="72"/>
      <c r="T131" s="56"/>
      <c r="U131" s="72"/>
      <c r="V131" s="72"/>
      <c r="W131" s="72"/>
      <c r="X131" s="72"/>
      <c r="Y131" s="56"/>
      <c r="Z131" s="72"/>
      <c r="AA131" s="72"/>
      <c r="AB131" s="72"/>
      <c r="AC131" s="56"/>
      <c r="AD131" s="56"/>
      <c r="AE131" s="56"/>
      <c r="AF131" s="56"/>
      <c r="AG131" s="56"/>
      <c r="AI131" s="56"/>
      <c r="AJ131" s="72"/>
      <c r="AK131" s="72"/>
      <c r="AL131" s="72"/>
      <c r="AM131" s="56"/>
      <c r="AN131" s="72"/>
      <c r="AO131" s="72"/>
      <c r="AP131" s="72"/>
      <c r="AQ131" s="72"/>
      <c r="AR131" s="72"/>
      <c r="AS131" s="72"/>
      <c r="AT131" s="56"/>
      <c r="AU131" s="72"/>
      <c r="AV131" s="72"/>
      <c r="AW131" s="72"/>
      <c r="AX131" s="72"/>
      <c r="AY131" s="72"/>
      <c r="AZ131" s="72"/>
      <c r="BA131" s="72">
        <f>C131*D131*E131</f>
        <v>1.6529999999999998</v>
      </c>
      <c r="BB131" s="72"/>
      <c r="BC131" s="72"/>
      <c r="BD131" s="72"/>
      <c r="BE131" s="72"/>
      <c r="BF131" s="72"/>
      <c r="BG131" s="56"/>
      <c r="BH131" s="99"/>
      <c r="BI131" s="99"/>
      <c r="BJ131" s="99"/>
      <c r="BK131" s="99"/>
      <c r="BM131" s="56"/>
      <c r="BN131" s="56"/>
      <c r="BO131" s="56"/>
      <c r="BQ131" s="99"/>
      <c r="BR131" s="99"/>
      <c r="BS131" s="99"/>
    </row>
    <row r="132" spans="1:71" s="84" customFormat="1" ht="15" customHeight="1" x14ac:dyDescent="0.35">
      <c r="A132" s="92" t="str">
        <f>'Popis del_fasada'!A157</f>
        <v>2</v>
      </c>
      <c r="B132" s="69" t="s">
        <v>131</v>
      </c>
      <c r="C132" s="99">
        <v>3.24</v>
      </c>
      <c r="D132" s="56"/>
      <c r="E132" s="56">
        <v>2</v>
      </c>
      <c r="F132" s="56"/>
      <c r="G132" s="56"/>
      <c r="H132" s="72"/>
      <c r="I132" s="72"/>
      <c r="J132" s="72"/>
      <c r="K132" s="72"/>
      <c r="L132" s="72"/>
      <c r="M132" s="72"/>
      <c r="N132" s="72"/>
      <c r="O132" s="72"/>
      <c r="P132" s="72"/>
      <c r="Q132" s="72"/>
      <c r="R132" s="72"/>
      <c r="S132" s="72"/>
      <c r="T132" s="56"/>
      <c r="U132" s="72"/>
      <c r="V132" s="72"/>
      <c r="W132" s="72"/>
      <c r="X132" s="72"/>
      <c r="Y132" s="56"/>
      <c r="Z132" s="72"/>
      <c r="AA132" s="72"/>
      <c r="AB132" s="72"/>
      <c r="AC132" s="56"/>
      <c r="AD132" s="56"/>
      <c r="AE132" s="56"/>
      <c r="AF132" s="56"/>
      <c r="AG132" s="56"/>
      <c r="AI132" s="56"/>
      <c r="AJ132" s="72"/>
      <c r="AK132" s="72"/>
      <c r="AL132" s="72"/>
      <c r="AM132" s="56"/>
      <c r="AN132" s="72"/>
      <c r="AO132" s="72"/>
      <c r="AP132" s="72"/>
      <c r="AQ132" s="72"/>
      <c r="AR132" s="72"/>
      <c r="AS132" s="72"/>
      <c r="AT132" s="56"/>
      <c r="AU132" s="72"/>
      <c r="AV132" s="72"/>
      <c r="AW132" s="72"/>
      <c r="AX132" s="72"/>
      <c r="AY132" s="72"/>
      <c r="AZ132" s="72"/>
      <c r="BA132" s="72"/>
      <c r="BB132" s="72">
        <f>C132*E132</f>
        <v>6.48</v>
      </c>
      <c r="BC132" s="72"/>
      <c r="BD132" s="72"/>
      <c r="BE132" s="72"/>
      <c r="BF132" s="72"/>
      <c r="BG132" s="56"/>
      <c r="BH132" s="99"/>
      <c r="BI132" s="99"/>
      <c r="BJ132" s="99"/>
      <c r="BK132" s="99"/>
      <c r="BM132" s="56"/>
      <c r="BN132" s="56"/>
      <c r="BO132" s="56"/>
      <c r="BQ132" s="99"/>
      <c r="BR132" s="99"/>
      <c r="BS132" s="99"/>
    </row>
    <row r="133" spans="1:71" s="84" customFormat="1" ht="15" customHeight="1" x14ac:dyDescent="0.35">
      <c r="A133" s="92" t="str">
        <f>'Popis del_fasada'!A159</f>
        <v>3</v>
      </c>
      <c r="B133" s="69" t="s">
        <v>132</v>
      </c>
      <c r="C133" s="99">
        <v>3.24</v>
      </c>
      <c r="D133" s="56">
        <v>1.8</v>
      </c>
      <c r="E133" s="56">
        <v>2</v>
      </c>
      <c r="F133" s="56"/>
      <c r="G133" s="56"/>
      <c r="H133" s="72"/>
      <c r="I133" s="72"/>
      <c r="J133" s="72"/>
      <c r="K133" s="72"/>
      <c r="L133" s="72"/>
      <c r="M133" s="72"/>
      <c r="N133" s="72"/>
      <c r="O133" s="72"/>
      <c r="P133" s="72"/>
      <c r="Q133" s="72"/>
      <c r="R133" s="72"/>
      <c r="S133" s="72"/>
      <c r="T133" s="56"/>
      <c r="U133" s="72"/>
      <c r="V133" s="72"/>
      <c r="W133" s="72"/>
      <c r="X133" s="72"/>
      <c r="Y133" s="56"/>
      <c r="Z133" s="72"/>
      <c r="AA133" s="72"/>
      <c r="AB133" s="72"/>
      <c r="AC133" s="56"/>
      <c r="AD133" s="56"/>
      <c r="AE133" s="56"/>
      <c r="AF133" s="56"/>
      <c r="AG133" s="56"/>
      <c r="AI133" s="56"/>
      <c r="AJ133" s="72"/>
      <c r="AK133" s="72"/>
      <c r="AL133" s="72"/>
      <c r="AM133" s="56"/>
      <c r="AN133" s="72"/>
      <c r="AO133" s="72"/>
      <c r="AP133" s="72"/>
      <c r="AQ133" s="72"/>
      <c r="AR133" s="72"/>
      <c r="AS133" s="72"/>
      <c r="AT133" s="56"/>
      <c r="AU133" s="72"/>
      <c r="AV133" s="72"/>
      <c r="AW133" s="72"/>
      <c r="AX133" s="72"/>
      <c r="AY133" s="72"/>
      <c r="AZ133" s="72"/>
      <c r="BA133" s="72"/>
      <c r="BB133" s="72"/>
      <c r="BC133" s="72">
        <f>C133*E133+D133*3</f>
        <v>11.88</v>
      </c>
      <c r="BD133" s="72"/>
      <c r="BE133" s="72"/>
      <c r="BF133" s="72"/>
      <c r="BG133" s="56"/>
      <c r="BH133" s="99"/>
      <c r="BI133" s="99"/>
      <c r="BJ133" s="99"/>
      <c r="BK133" s="99"/>
      <c r="BM133" s="56"/>
      <c r="BN133" s="56"/>
      <c r="BO133" s="56"/>
      <c r="BQ133" s="99"/>
      <c r="BR133" s="99"/>
      <c r="BS133" s="99"/>
    </row>
    <row r="134" spans="1:71" s="84" customFormat="1" ht="15" customHeight="1" x14ac:dyDescent="0.35">
      <c r="A134" s="92" t="str">
        <f>'Popis del_fasada'!A161</f>
        <v>4</v>
      </c>
      <c r="B134" s="69" t="s">
        <v>133</v>
      </c>
      <c r="C134" s="99">
        <f>2.38+2.42</f>
        <v>4.8</v>
      </c>
      <c r="D134" s="56">
        <v>1.45</v>
      </c>
      <c r="E134" s="56"/>
      <c r="F134" s="56"/>
      <c r="G134" s="56"/>
      <c r="H134" s="72"/>
      <c r="I134" s="72"/>
      <c r="J134" s="72"/>
      <c r="K134" s="72"/>
      <c r="L134" s="72"/>
      <c r="M134" s="72"/>
      <c r="N134" s="72"/>
      <c r="O134" s="72"/>
      <c r="P134" s="72"/>
      <c r="Q134" s="72"/>
      <c r="R134" s="72"/>
      <c r="S134" s="72"/>
      <c r="T134" s="56"/>
      <c r="U134" s="72"/>
      <c r="V134" s="72"/>
      <c r="W134" s="72"/>
      <c r="X134" s="72"/>
      <c r="Y134" s="56"/>
      <c r="Z134" s="72"/>
      <c r="AA134" s="72"/>
      <c r="AB134" s="72"/>
      <c r="AC134" s="56"/>
      <c r="AD134" s="56"/>
      <c r="AE134" s="56"/>
      <c r="AF134" s="56"/>
      <c r="AG134" s="56"/>
      <c r="AI134" s="56"/>
      <c r="AJ134" s="72"/>
      <c r="AK134" s="72"/>
      <c r="AL134" s="72"/>
      <c r="AM134" s="56"/>
      <c r="AN134" s="72"/>
      <c r="AO134" s="72"/>
      <c r="AP134" s="72"/>
      <c r="AQ134" s="72"/>
      <c r="AR134" s="72"/>
      <c r="AS134" s="72"/>
      <c r="AT134" s="56"/>
      <c r="AU134" s="72"/>
      <c r="AV134" s="72"/>
      <c r="AW134" s="72"/>
      <c r="AX134" s="72"/>
      <c r="AY134" s="72"/>
      <c r="AZ134" s="72"/>
      <c r="BA134" s="72"/>
      <c r="BB134" s="72"/>
      <c r="BC134" s="72"/>
      <c r="BD134" s="72">
        <f>C134*D134</f>
        <v>6.96</v>
      </c>
      <c r="BE134" s="72"/>
      <c r="BF134" s="72"/>
      <c r="BG134" s="56"/>
      <c r="BH134" s="99"/>
      <c r="BI134" s="99"/>
      <c r="BJ134" s="99"/>
      <c r="BK134" s="99"/>
      <c r="BM134" s="56"/>
      <c r="BN134" s="56"/>
      <c r="BO134" s="56"/>
      <c r="BQ134" s="99"/>
      <c r="BR134" s="99"/>
      <c r="BS134" s="99"/>
    </row>
    <row r="135" spans="1:71" s="84" customFormat="1" ht="15" customHeight="1" x14ac:dyDescent="0.35">
      <c r="A135" s="92" t="str">
        <f>'Popis del_fasada'!A163</f>
        <v>5</v>
      </c>
      <c r="B135" s="69" t="s">
        <v>198</v>
      </c>
      <c r="C135" s="99">
        <f>2.38+2.42</f>
        <v>4.8</v>
      </c>
      <c r="D135" s="56"/>
      <c r="E135" s="56"/>
      <c r="F135" s="56"/>
      <c r="G135" s="56"/>
      <c r="H135" s="72"/>
      <c r="I135" s="72"/>
      <c r="J135" s="72"/>
      <c r="K135" s="72"/>
      <c r="L135" s="72"/>
      <c r="M135" s="72"/>
      <c r="N135" s="72"/>
      <c r="O135" s="72"/>
      <c r="P135" s="72"/>
      <c r="Q135" s="72"/>
      <c r="R135" s="72"/>
      <c r="S135" s="72"/>
      <c r="T135" s="56"/>
      <c r="U135" s="72"/>
      <c r="V135" s="72"/>
      <c r="W135" s="72"/>
      <c r="X135" s="72"/>
      <c r="Y135" s="56"/>
      <c r="Z135" s="72"/>
      <c r="AA135" s="72"/>
      <c r="AB135" s="72"/>
      <c r="AC135" s="56"/>
      <c r="AD135" s="56"/>
      <c r="AE135" s="56"/>
      <c r="AF135" s="56"/>
      <c r="AG135" s="56"/>
      <c r="AI135" s="56"/>
      <c r="AJ135" s="72"/>
      <c r="AK135" s="72"/>
      <c r="AL135" s="72"/>
      <c r="AM135" s="56"/>
      <c r="AN135" s="72"/>
      <c r="AO135" s="72"/>
      <c r="AP135" s="72"/>
      <c r="AQ135" s="72"/>
      <c r="AR135" s="72"/>
      <c r="AS135" s="72"/>
      <c r="AT135" s="56"/>
      <c r="AU135" s="72"/>
      <c r="AV135" s="72"/>
      <c r="AW135" s="72"/>
      <c r="AX135" s="72"/>
      <c r="AY135" s="72"/>
      <c r="AZ135" s="72"/>
      <c r="BA135" s="72"/>
      <c r="BB135" s="72"/>
      <c r="BC135" s="72"/>
      <c r="BD135" s="72"/>
      <c r="BE135" s="72">
        <f>C135</f>
        <v>4.8</v>
      </c>
      <c r="BF135" s="72"/>
      <c r="BG135" s="56"/>
      <c r="BH135" s="99"/>
      <c r="BI135" s="99"/>
      <c r="BJ135" s="99"/>
      <c r="BK135" s="99"/>
      <c r="BM135" s="56"/>
      <c r="BN135" s="56"/>
      <c r="BO135" s="56"/>
      <c r="BQ135" s="99"/>
      <c r="BR135" s="99"/>
      <c r="BS135" s="99"/>
    </row>
    <row r="136" spans="1:71" s="84" customFormat="1" ht="15" customHeight="1" x14ac:dyDescent="0.35">
      <c r="A136" s="92" t="str">
        <f>'Popis del_fasada'!A165</f>
        <v>6</v>
      </c>
      <c r="B136" s="69" t="s">
        <v>199</v>
      </c>
      <c r="C136" s="99">
        <v>3.5</v>
      </c>
      <c r="D136" s="56"/>
      <c r="E136" s="56"/>
      <c r="F136" s="56"/>
      <c r="G136" s="56"/>
      <c r="H136" s="72"/>
      <c r="I136" s="72"/>
      <c r="J136" s="72"/>
      <c r="K136" s="72"/>
      <c r="L136" s="72"/>
      <c r="M136" s="72"/>
      <c r="N136" s="72"/>
      <c r="O136" s="72"/>
      <c r="P136" s="72"/>
      <c r="Q136" s="72"/>
      <c r="R136" s="72"/>
      <c r="S136" s="72"/>
      <c r="T136" s="56"/>
      <c r="U136" s="72"/>
      <c r="V136" s="72"/>
      <c r="W136" s="72"/>
      <c r="X136" s="72"/>
      <c r="Y136" s="56"/>
      <c r="Z136" s="72"/>
      <c r="AA136" s="72"/>
      <c r="AB136" s="72"/>
      <c r="AC136" s="56"/>
      <c r="AD136" s="56"/>
      <c r="AE136" s="56"/>
      <c r="AF136" s="56"/>
      <c r="AG136" s="56"/>
      <c r="AI136" s="56"/>
      <c r="AJ136" s="72"/>
      <c r="AK136" s="72"/>
      <c r="AL136" s="72"/>
      <c r="AM136" s="56"/>
      <c r="AN136" s="72"/>
      <c r="AO136" s="72"/>
      <c r="AP136" s="72"/>
      <c r="AQ136" s="72"/>
      <c r="AR136" s="72"/>
      <c r="AS136" s="72"/>
      <c r="AT136" s="56"/>
      <c r="AU136" s="72"/>
      <c r="AV136" s="72"/>
      <c r="AW136" s="72"/>
      <c r="AX136" s="72"/>
      <c r="AY136" s="72"/>
      <c r="AZ136" s="72"/>
      <c r="BA136" s="72"/>
      <c r="BB136" s="72"/>
      <c r="BC136" s="72"/>
      <c r="BD136" s="72"/>
      <c r="BE136" s="72"/>
      <c r="BF136" s="72">
        <f>C136</f>
        <v>3.5</v>
      </c>
      <c r="BG136" s="56"/>
      <c r="BH136" s="99"/>
      <c r="BI136" s="99"/>
      <c r="BJ136" s="99"/>
      <c r="BK136" s="99"/>
      <c r="BM136" s="56"/>
      <c r="BN136" s="56"/>
      <c r="BO136" s="56"/>
      <c r="BQ136" s="99"/>
      <c r="BR136" s="99"/>
      <c r="BS136" s="99"/>
    </row>
    <row r="137" spans="1:71" s="84" customFormat="1" ht="15" customHeight="1" x14ac:dyDescent="0.35">
      <c r="A137" s="92"/>
      <c r="B137" s="69"/>
      <c r="C137" s="99"/>
      <c r="D137" s="56"/>
      <c r="E137" s="56"/>
      <c r="F137" s="56"/>
      <c r="G137" s="56"/>
      <c r="H137" s="72"/>
      <c r="I137" s="72"/>
      <c r="J137" s="72"/>
      <c r="K137" s="72"/>
      <c r="L137" s="72"/>
      <c r="M137" s="72"/>
      <c r="N137" s="72"/>
      <c r="O137" s="72"/>
      <c r="P137" s="72"/>
      <c r="Q137" s="72"/>
      <c r="R137" s="72"/>
      <c r="S137" s="72"/>
      <c r="T137" s="56"/>
      <c r="U137" s="72"/>
      <c r="V137" s="72"/>
      <c r="W137" s="72"/>
      <c r="X137" s="72"/>
      <c r="Y137" s="56"/>
      <c r="Z137" s="72"/>
      <c r="AA137" s="72"/>
      <c r="AB137" s="72"/>
      <c r="AC137" s="56"/>
      <c r="AD137" s="56"/>
      <c r="AE137" s="56"/>
      <c r="AF137" s="56"/>
      <c r="AG137" s="56"/>
      <c r="AI137" s="56"/>
      <c r="AJ137" s="72"/>
      <c r="AK137" s="72"/>
      <c r="AL137" s="72"/>
      <c r="AM137" s="56"/>
      <c r="AN137" s="72"/>
      <c r="AO137" s="72"/>
      <c r="AP137" s="72"/>
      <c r="AQ137" s="72"/>
      <c r="AR137" s="72"/>
      <c r="AS137" s="72"/>
      <c r="AT137" s="56"/>
      <c r="AU137" s="72"/>
      <c r="AV137" s="72"/>
      <c r="AW137" s="72"/>
      <c r="AX137" s="72"/>
      <c r="AY137" s="72"/>
      <c r="AZ137" s="72"/>
      <c r="BA137" s="72"/>
      <c r="BB137" s="72"/>
      <c r="BC137" s="72"/>
      <c r="BD137" s="72"/>
      <c r="BE137" s="72"/>
      <c r="BF137" s="72"/>
      <c r="BG137" s="56"/>
      <c r="BH137" s="99"/>
      <c r="BI137" s="99"/>
      <c r="BJ137" s="99"/>
      <c r="BK137" s="99"/>
      <c r="BM137" s="56"/>
      <c r="BN137" s="56"/>
      <c r="BO137" s="56"/>
      <c r="BQ137" s="99"/>
      <c r="BR137" s="99"/>
      <c r="BS137" s="99"/>
    </row>
    <row r="138" spans="1:71" s="84" customFormat="1" ht="15" customHeight="1" x14ac:dyDescent="0.35">
      <c r="A138" s="92"/>
      <c r="B138" s="69" t="str">
        <f>'Popis del_fasada'!B171</f>
        <v>SLIKOPLESKARSKA DELA</v>
      </c>
      <c r="C138" s="99"/>
      <c r="D138" s="56"/>
      <c r="E138" s="56"/>
      <c r="F138" s="56"/>
      <c r="G138" s="56"/>
      <c r="H138" s="72"/>
      <c r="I138" s="72"/>
      <c r="J138" s="72"/>
      <c r="K138" s="72"/>
      <c r="L138" s="72"/>
      <c r="M138" s="72"/>
      <c r="N138" s="72"/>
      <c r="O138" s="72"/>
      <c r="P138" s="72"/>
      <c r="Q138" s="72"/>
      <c r="R138" s="72"/>
      <c r="S138" s="72"/>
      <c r="T138" s="56"/>
      <c r="U138" s="72"/>
      <c r="V138" s="72"/>
      <c r="W138" s="72"/>
      <c r="X138" s="72"/>
      <c r="Y138" s="56"/>
      <c r="Z138" s="72"/>
      <c r="AA138" s="72"/>
      <c r="AB138" s="72"/>
      <c r="AC138" s="56"/>
      <c r="AD138" s="56"/>
      <c r="AE138" s="56"/>
      <c r="AF138" s="56"/>
      <c r="AG138" s="56"/>
      <c r="AI138" s="56"/>
      <c r="AJ138" s="72"/>
      <c r="AK138" s="72"/>
      <c r="AL138" s="72"/>
      <c r="AM138" s="56"/>
      <c r="AN138" s="72"/>
      <c r="AO138" s="72"/>
      <c r="AP138" s="72"/>
      <c r="AQ138" s="72"/>
      <c r="AR138" s="72"/>
      <c r="AS138" s="72"/>
      <c r="AT138" s="56"/>
      <c r="AU138" s="72"/>
      <c r="AV138" s="72"/>
      <c r="AW138" s="72"/>
      <c r="AX138" s="72"/>
      <c r="AY138" s="72"/>
      <c r="AZ138" s="72"/>
      <c r="BA138" s="72"/>
      <c r="BB138" s="72"/>
      <c r="BC138" s="72"/>
      <c r="BD138" s="72"/>
      <c r="BE138" s="72"/>
      <c r="BF138" s="72"/>
      <c r="BG138" s="56"/>
      <c r="BH138" s="99"/>
      <c r="BI138" s="99"/>
      <c r="BJ138" s="99"/>
      <c r="BK138" s="99"/>
      <c r="BM138" s="56"/>
      <c r="BN138" s="56"/>
      <c r="BO138" s="56"/>
      <c r="BQ138" s="99"/>
      <c r="BR138" s="99"/>
      <c r="BS138" s="99"/>
    </row>
    <row r="139" spans="1:71" s="84" customFormat="1" ht="15" customHeight="1" x14ac:dyDescent="0.35">
      <c r="A139" s="92">
        <f>'Popis del_fasada'!A173</f>
        <v>1</v>
      </c>
      <c r="B139" s="69" t="s">
        <v>201</v>
      </c>
      <c r="C139" s="99">
        <v>3.24</v>
      </c>
      <c r="D139" s="56">
        <v>1.8</v>
      </c>
      <c r="E139" s="56"/>
      <c r="F139" s="56"/>
      <c r="G139" s="56"/>
      <c r="H139" s="72"/>
      <c r="I139" s="72"/>
      <c r="J139" s="72"/>
      <c r="K139" s="72"/>
      <c r="L139" s="72"/>
      <c r="M139" s="72"/>
      <c r="N139" s="72"/>
      <c r="O139" s="72"/>
      <c r="P139" s="72"/>
      <c r="Q139" s="72"/>
      <c r="R139" s="72"/>
      <c r="S139" s="72"/>
      <c r="T139" s="56"/>
      <c r="U139" s="72"/>
      <c r="V139" s="72"/>
      <c r="W139" s="72"/>
      <c r="X139" s="72"/>
      <c r="Y139" s="56"/>
      <c r="Z139" s="72"/>
      <c r="AA139" s="72"/>
      <c r="AB139" s="72"/>
      <c r="AC139" s="56"/>
      <c r="AD139" s="56"/>
      <c r="AE139" s="56"/>
      <c r="AF139" s="56"/>
      <c r="AG139" s="56"/>
      <c r="AI139" s="56"/>
      <c r="AJ139" s="72"/>
      <c r="AK139" s="72"/>
      <c r="AL139" s="72"/>
      <c r="AM139" s="56"/>
      <c r="AN139" s="72"/>
      <c r="AO139" s="72"/>
      <c r="AP139" s="72"/>
      <c r="AQ139" s="72"/>
      <c r="AR139" s="72"/>
      <c r="AS139" s="72"/>
      <c r="AT139" s="56"/>
      <c r="AU139" s="72"/>
      <c r="AV139" s="72"/>
      <c r="AW139" s="72"/>
      <c r="AX139" s="72"/>
      <c r="AY139" s="72"/>
      <c r="AZ139" s="72"/>
      <c r="BA139" s="72"/>
      <c r="BB139" s="72"/>
      <c r="BC139" s="72"/>
      <c r="BD139" s="72"/>
      <c r="BE139" s="72"/>
      <c r="BF139" s="72"/>
      <c r="BG139" s="56"/>
      <c r="BH139" s="99">
        <f>C139*D139</f>
        <v>5.8320000000000007</v>
      </c>
      <c r="BI139" s="99"/>
      <c r="BJ139" s="99"/>
      <c r="BK139" s="99"/>
      <c r="BM139" s="56"/>
      <c r="BN139" s="56"/>
      <c r="BO139" s="56"/>
      <c r="BQ139" s="99"/>
      <c r="BR139" s="99"/>
      <c r="BS139" s="99"/>
    </row>
    <row r="140" spans="1:71" s="84" customFormat="1" ht="15" customHeight="1" x14ac:dyDescent="0.35">
      <c r="A140" s="92"/>
      <c r="B140" s="69"/>
      <c r="C140" s="99">
        <v>2.5</v>
      </c>
      <c r="D140" s="56">
        <v>0.9</v>
      </c>
      <c r="E140" s="56"/>
      <c r="F140" s="56"/>
      <c r="G140" s="56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56"/>
      <c r="U140" s="72"/>
      <c r="V140" s="72"/>
      <c r="W140" s="72"/>
      <c r="X140" s="72"/>
      <c r="Y140" s="56"/>
      <c r="Z140" s="72"/>
      <c r="AA140" s="72"/>
      <c r="AB140" s="72"/>
      <c r="AC140" s="56"/>
      <c r="AD140" s="56"/>
      <c r="AE140" s="56"/>
      <c r="AF140" s="56"/>
      <c r="AG140" s="56"/>
      <c r="AI140" s="56"/>
      <c r="AJ140" s="72"/>
      <c r="AK140" s="72"/>
      <c r="AL140" s="72"/>
      <c r="AM140" s="56"/>
      <c r="AN140" s="72"/>
      <c r="AO140" s="72"/>
      <c r="AP140" s="72"/>
      <c r="AQ140" s="72"/>
      <c r="AR140" s="72"/>
      <c r="AS140" s="72"/>
      <c r="AT140" s="56"/>
      <c r="AU140" s="72"/>
      <c r="AV140" s="72"/>
      <c r="AW140" s="72"/>
      <c r="AX140" s="72"/>
      <c r="AY140" s="72"/>
      <c r="AZ140" s="72"/>
      <c r="BA140" s="72"/>
      <c r="BB140" s="72"/>
      <c r="BC140" s="72"/>
      <c r="BD140" s="72"/>
      <c r="BE140" s="72"/>
      <c r="BF140" s="72"/>
      <c r="BG140" s="56"/>
      <c r="BH140" s="99">
        <f>C140*D140</f>
        <v>2.25</v>
      </c>
      <c r="BI140" s="99"/>
      <c r="BJ140" s="99"/>
      <c r="BK140" s="99"/>
      <c r="BM140" s="56"/>
      <c r="BN140" s="56"/>
      <c r="BO140" s="56"/>
      <c r="BQ140" s="99"/>
      <c r="BR140" s="99"/>
      <c r="BS140" s="99"/>
    </row>
    <row r="141" spans="1:71" s="84" customFormat="1" ht="15" customHeight="1" x14ac:dyDescent="0.35">
      <c r="A141" s="92">
        <f>'Popis del_fasada'!A177</f>
        <v>3</v>
      </c>
      <c r="B141" s="69" t="s">
        <v>134</v>
      </c>
      <c r="C141" s="72">
        <f>11.7</f>
        <v>11.7</v>
      </c>
      <c r="D141" s="56">
        <v>0.6</v>
      </c>
      <c r="E141" s="56"/>
      <c r="F141" s="56"/>
      <c r="G141" s="56"/>
      <c r="H141" s="72"/>
      <c r="I141" s="72"/>
      <c r="J141" s="72"/>
      <c r="K141" s="72"/>
      <c r="L141" s="72"/>
      <c r="M141" s="72"/>
      <c r="N141" s="72"/>
      <c r="O141" s="72"/>
      <c r="P141" s="72"/>
      <c r="Q141" s="72"/>
      <c r="R141" s="72"/>
      <c r="S141" s="72"/>
      <c r="T141" s="56"/>
      <c r="U141" s="72"/>
      <c r="V141" s="72"/>
      <c r="W141" s="72"/>
      <c r="X141" s="72"/>
      <c r="Y141" s="56"/>
      <c r="Z141" s="72"/>
      <c r="AA141" s="72"/>
      <c r="AB141" s="72"/>
      <c r="AD141" s="56"/>
      <c r="AE141" s="56"/>
      <c r="AF141" s="56"/>
      <c r="AG141" s="56"/>
      <c r="AI141" s="56"/>
      <c r="AJ141" s="72"/>
      <c r="AK141" s="72"/>
      <c r="AL141" s="72"/>
      <c r="AM141" s="56"/>
      <c r="AN141" s="72"/>
      <c r="AO141" s="72"/>
      <c r="AP141" s="72"/>
      <c r="AQ141" s="72"/>
      <c r="AR141" s="72"/>
      <c r="AS141" s="72"/>
      <c r="AT141" s="72"/>
      <c r="AU141" s="72"/>
      <c r="AV141" s="72"/>
      <c r="AW141" s="72"/>
      <c r="AX141" s="72"/>
      <c r="AY141" s="72"/>
      <c r="AZ141" s="72"/>
      <c r="BA141" s="72"/>
      <c r="BB141" s="72"/>
      <c r="BC141" s="72"/>
      <c r="BD141" s="72"/>
      <c r="BE141" s="72"/>
      <c r="BF141" s="72"/>
      <c r="BG141" s="56"/>
      <c r="BH141" s="99"/>
      <c r="BI141" s="99">
        <f>C141*D141</f>
        <v>7.02</v>
      </c>
      <c r="BJ141" s="99"/>
      <c r="BK141" s="99"/>
      <c r="BM141" s="56"/>
      <c r="BN141" s="56"/>
      <c r="BO141" s="56"/>
      <c r="BQ141" s="99"/>
      <c r="BR141" s="99"/>
      <c r="BS141" s="99"/>
    </row>
    <row r="142" spans="1:71" s="84" customFormat="1" ht="15" customHeight="1" x14ac:dyDescent="0.35">
      <c r="A142" s="92">
        <f>'Popis del_fasada'!A179</f>
        <v>4</v>
      </c>
      <c r="B142" s="69" t="s">
        <v>176</v>
      </c>
      <c r="C142" s="99"/>
      <c r="D142" s="99"/>
      <c r="E142" s="99"/>
      <c r="F142" s="56"/>
      <c r="G142" s="56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56"/>
      <c r="U142" s="72"/>
      <c r="V142" s="72"/>
      <c r="W142" s="72"/>
      <c r="X142" s="72"/>
      <c r="Y142" s="56"/>
      <c r="Z142" s="72"/>
      <c r="AA142" s="72"/>
      <c r="AB142" s="72"/>
      <c r="AC142" s="56"/>
      <c r="AD142" s="56"/>
      <c r="AE142" s="56"/>
      <c r="AF142" s="56"/>
      <c r="AG142" s="56"/>
      <c r="AI142" s="56"/>
      <c r="AJ142" s="72"/>
      <c r="AK142" s="72"/>
      <c r="AL142" s="72"/>
      <c r="AM142" s="56"/>
      <c r="AN142" s="72"/>
      <c r="AO142" s="72"/>
      <c r="AP142" s="72"/>
      <c r="AQ142" s="72"/>
      <c r="AR142" s="72"/>
      <c r="AS142" s="72"/>
      <c r="AT142" s="56"/>
      <c r="AU142" s="72"/>
      <c r="AV142" s="72"/>
      <c r="AW142" s="72"/>
      <c r="AX142" s="72"/>
      <c r="AY142" s="72"/>
      <c r="AZ142" s="72"/>
      <c r="BA142" s="72"/>
      <c r="BB142" s="72"/>
      <c r="BC142" s="72"/>
      <c r="BD142" s="72"/>
      <c r="BE142" s="72"/>
      <c r="BF142" s="72"/>
      <c r="BG142" s="56"/>
      <c r="BH142" s="99">
        <f>C142*D142*E142</f>
        <v>0</v>
      </c>
      <c r="BI142" s="99"/>
      <c r="BJ142" s="99"/>
      <c r="BK142" s="99"/>
      <c r="BM142" s="56"/>
      <c r="BN142" s="56"/>
      <c r="BO142" s="56"/>
      <c r="BQ142" s="99"/>
      <c r="BR142" s="99"/>
      <c r="BS142" s="99"/>
    </row>
    <row r="143" spans="1:71" s="84" customFormat="1" ht="15" customHeight="1" x14ac:dyDescent="0.35">
      <c r="A143" s="92"/>
      <c r="B143" s="70" t="s">
        <v>178</v>
      </c>
      <c r="C143" s="99">
        <v>0.03</v>
      </c>
      <c r="D143" s="99">
        <v>0.03</v>
      </c>
      <c r="E143" s="99">
        <v>3</v>
      </c>
      <c r="F143" s="56">
        <v>2.11</v>
      </c>
      <c r="G143" s="56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72"/>
      <c r="S143" s="72"/>
      <c r="T143" s="56"/>
      <c r="U143" s="72"/>
      <c r="V143" s="72"/>
      <c r="W143" s="72"/>
      <c r="X143" s="72"/>
      <c r="Y143" s="56"/>
      <c r="Z143" s="72"/>
      <c r="AA143" s="72"/>
      <c r="AB143" s="72"/>
      <c r="AC143" s="56"/>
      <c r="AD143" s="56"/>
      <c r="AE143" s="56"/>
      <c r="AF143" s="56"/>
      <c r="AG143" s="56"/>
      <c r="AI143" s="56"/>
      <c r="AJ143" s="72"/>
      <c r="AK143" s="72"/>
      <c r="AL143" s="72"/>
      <c r="AM143" s="56"/>
      <c r="AN143" s="72"/>
      <c r="AO143" s="72"/>
      <c r="AP143" s="72"/>
      <c r="AQ143" s="72"/>
      <c r="AR143" s="72"/>
      <c r="AS143" s="72"/>
      <c r="AT143" s="56"/>
      <c r="AU143" s="72"/>
      <c r="AV143" s="72"/>
      <c r="AW143" s="72"/>
      <c r="AX143" s="72"/>
      <c r="AY143" s="72"/>
      <c r="AZ143" s="72"/>
      <c r="BA143" s="72"/>
      <c r="BB143" s="72"/>
      <c r="BC143" s="72"/>
      <c r="BD143" s="72"/>
      <c r="BE143" s="72"/>
      <c r="BF143" s="72"/>
      <c r="BG143" s="56"/>
      <c r="BH143" s="99"/>
      <c r="BI143" s="99"/>
      <c r="BJ143" s="99">
        <f>(2*C143+2*D143)*E143*F143</f>
        <v>0.75959999999999994</v>
      </c>
      <c r="BK143" s="99"/>
      <c r="BM143" s="56"/>
      <c r="BN143" s="56"/>
      <c r="BO143" s="56"/>
      <c r="BQ143" s="99"/>
      <c r="BR143" s="99"/>
      <c r="BS143" s="99"/>
    </row>
    <row r="144" spans="1:71" s="84" customFormat="1" ht="15" customHeight="1" x14ac:dyDescent="0.35">
      <c r="A144" s="92"/>
      <c r="B144" s="70"/>
      <c r="C144" s="99">
        <v>0.03</v>
      </c>
      <c r="D144" s="99">
        <v>0.03</v>
      </c>
      <c r="E144" s="99">
        <v>2</v>
      </c>
      <c r="F144" s="56">
        <v>2.52</v>
      </c>
      <c r="G144" s="56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56"/>
      <c r="U144" s="72"/>
      <c r="V144" s="72"/>
      <c r="W144" s="72"/>
      <c r="X144" s="72"/>
      <c r="Y144" s="56"/>
      <c r="Z144" s="72"/>
      <c r="AA144" s="72"/>
      <c r="AB144" s="72"/>
      <c r="AC144" s="56"/>
      <c r="AD144" s="56"/>
      <c r="AE144" s="56"/>
      <c r="AF144" s="56"/>
      <c r="AG144" s="56"/>
      <c r="AI144" s="56"/>
      <c r="AJ144" s="72"/>
      <c r="AK144" s="72"/>
      <c r="AL144" s="72"/>
      <c r="AM144" s="56"/>
      <c r="AN144" s="72"/>
      <c r="AO144" s="72"/>
      <c r="AP144" s="72"/>
      <c r="AQ144" s="72"/>
      <c r="AR144" s="72"/>
      <c r="AS144" s="72"/>
      <c r="AT144" s="56"/>
      <c r="AU144" s="72"/>
      <c r="AV144" s="72"/>
      <c r="AW144" s="72"/>
      <c r="AX144" s="72"/>
      <c r="AY144" s="72"/>
      <c r="AZ144" s="72"/>
      <c r="BA144" s="72"/>
      <c r="BB144" s="72"/>
      <c r="BC144" s="72"/>
      <c r="BD144" s="72"/>
      <c r="BE144" s="72"/>
      <c r="BF144" s="72"/>
      <c r="BG144" s="56"/>
      <c r="BH144" s="99"/>
      <c r="BI144" s="99"/>
      <c r="BJ144" s="99">
        <f t="shared" ref="BJ144:BJ147" si="8">(2*C144+2*D144)*E144*F144</f>
        <v>0.6048</v>
      </c>
      <c r="BK144" s="99"/>
      <c r="BM144" s="56"/>
      <c r="BN144" s="56"/>
      <c r="BO144" s="56"/>
      <c r="BQ144" s="99"/>
      <c r="BR144" s="99"/>
      <c r="BS144" s="99"/>
    </row>
    <row r="145" spans="1:71" s="84" customFormat="1" ht="15" customHeight="1" x14ac:dyDescent="0.35">
      <c r="A145" s="92"/>
      <c r="B145" s="70" t="s">
        <v>179</v>
      </c>
      <c r="C145" s="99">
        <v>0.03</v>
      </c>
      <c r="D145" s="99">
        <v>0.03</v>
      </c>
      <c r="E145" s="99">
        <v>4</v>
      </c>
      <c r="F145" s="56">
        <v>3.24</v>
      </c>
      <c r="G145" s="56"/>
      <c r="H145" s="72"/>
      <c r="I145" s="72"/>
      <c r="J145" s="72"/>
      <c r="K145" s="72"/>
      <c r="L145" s="72"/>
      <c r="M145" s="72"/>
      <c r="N145" s="72"/>
      <c r="O145" s="72"/>
      <c r="P145" s="72"/>
      <c r="Q145" s="72"/>
      <c r="R145" s="72"/>
      <c r="S145" s="72"/>
      <c r="T145" s="56"/>
      <c r="U145" s="72"/>
      <c r="V145" s="72"/>
      <c r="W145" s="72"/>
      <c r="X145" s="72"/>
      <c r="Y145" s="56"/>
      <c r="Z145" s="72"/>
      <c r="AA145" s="72"/>
      <c r="AB145" s="72"/>
      <c r="AC145" s="56"/>
      <c r="AD145" s="56"/>
      <c r="AE145" s="56"/>
      <c r="AF145" s="56"/>
      <c r="AG145" s="56"/>
      <c r="AI145" s="56"/>
      <c r="AJ145" s="72"/>
      <c r="AK145" s="72"/>
      <c r="AL145" s="72"/>
      <c r="AM145" s="56"/>
      <c r="AN145" s="72"/>
      <c r="AO145" s="72"/>
      <c r="AP145" s="72"/>
      <c r="AQ145" s="72"/>
      <c r="AR145" s="72"/>
      <c r="AS145" s="72"/>
      <c r="AT145" s="56"/>
      <c r="AU145" s="72"/>
      <c r="AV145" s="72"/>
      <c r="AW145" s="72"/>
      <c r="AX145" s="72"/>
      <c r="AY145" s="72"/>
      <c r="AZ145" s="72"/>
      <c r="BA145" s="72"/>
      <c r="BB145" s="72"/>
      <c r="BC145" s="72"/>
      <c r="BD145" s="72"/>
      <c r="BE145" s="72"/>
      <c r="BF145" s="72"/>
      <c r="BG145" s="56"/>
      <c r="BH145" s="99"/>
      <c r="BI145" s="99"/>
      <c r="BJ145" s="99">
        <f t="shared" si="8"/>
        <v>1.5552000000000001</v>
      </c>
      <c r="BK145" s="99"/>
      <c r="BM145" s="56"/>
      <c r="BN145" s="56"/>
      <c r="BO145" s="56"/>
      <c r="BQ145" s="99"/>
      <c r="BR145" s="99"/>
      <c r="BS145" s="99"/>
    </row>
    <row r="146" spans="1:71" s="84" customFormat="1" ht="15" customHeight="1" x14ac:dyDescent="0.35">
      <c r="A146" s="92"/>
      <c r="B146" s="56"/>
      <c r="C146" s="99">
        <v>0.03</v>
      </c>
      <c r="D146" s="99">
        <v>0.03</v>
      </c>
      <c r="E146" s="99">
        <v>6</v>
      </c>
      <c r="F146" s="56">
        <v>1.8</v>
      </c>
      <c r="G146" s="56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56"/>
      <c r="U146" s="72"/>
      <c r="V146" s="72"/>
      <c r="W146" s="72"/>
      <c r="X146" s="72"/>
      <c r="Y146" s="56"/>
      <c r="Z146" s="72"/>
      <c r="AA146" s="72"/>
      <c r="AB146" s="72"/>
      <c r="AC146" s="56"/>
      <c r="AD146" s="56"/>
      <c r="AE146" s="56"/>
      <c r="AF146" s="56"/>
      <c r="AG146" s="56"/>
      <c r="AI146" s="56"/>
      <c r="AJ146" s="72"/>
      <c r="AK146" s="72"/>
      <c r="AL146" s="72"/>
      <c r="AM146" s="56"/>
      <c r="AN146" s="72"/>
      <c r="AO146" s="72"/>
      <c r="AP146" s="72"/>
      <c r="AQ146" s="72"/>
      <c r="AR146" s="72"/>
      <c r="AS146" s="72"/>
      <c r="AT146" s="56"/>
      <c r="AU146" s="72"/>
      <c r="AV146" s="72"/>
      <c r="AW146" s="72"/>
      <c r="AX146" s="72"/>
      <c r="AY146" s="72"/>
      <c r="AZ146" s="72"/>
      <c r="BA146" s="72"/>
      <c r="BB146" s="72"/>
      <c r="BC146" s="72"/>
      <c r="BD146" s="72"/>
      <c r="BE146" s="72"/>
      <c r="BF146" s="72"/>
      <c r="BG146" s="56"/>
      <c r="BH146" s="99"/>
      <c r="BI146" s="99"/>
      <c r="BJ146" s="99">
        <f t="shared" si="8"/>
        <v>1.296</v>
      </c>
      <c r="BK146" s="99"/>
      <c r="BM146" s="56"/>
      <c r="BN146" s="56"/>
      <c r="BO146" s="56"/>
      <c r="BQ146" s="99"/>
      <c r="BR146" s="99"/>
      <c r="BS146" s="99"/>
    </row>
    <row r="147" spans="1:71" s="84" customFormat="1" ht="15" customHeight="1" x14ac:dyDescent="0.35">
      <c r="A147" s="92"/>
      <c r="B147" s="56"/>
      <c r="C147" s="99">
        <v>0.08</v>
      </c>
      <c r="D147" s="99">
        <v>0.08</v>
      </c>
      <c r="E147" s="99">
        <v>4</v>
      </c>
      <c r="F147" s="56">
        <v>2.2999999999999998</v>
      </c>
      <c r="G147" s="56"/>
      <c r="H147" s="72"/>
      <c r="I147" s="72"/>
      <c r="J147" s="72"/>
      <c r="K147" s="72"/>
      <c r="L147" s="72"/>
      <c r="M147" s="72"/>
      <c r="N147" s="72"/>
      <c r="O147" s="72"/>
      <c r="P147" s="72"/>
      <c r="Q147" s="72"/>
      <c r="R147" s="72"/>
      <c r="S147" s="72"/>
      <c r="T147" s="56"/>
      <c r="U147" s="72"/>
      <c r="V147" s="72"/>
      <c r="W147" s="72"/>
      <c r="X147" s="72"/>
      <c r="Y147" s="56"/>
      <c r="Z147" s="72"/>
      <c r="AA147" s="72"/>
      <c r="AB147" s="72"/>
      <c r="AC147" s="56"/>
      <c r="AD147" s="56"/>
      <c r="AE147" s="56"/>
      <c r="AF147" s="56"/>
      <c r="AG147" s="56"/>
      <c r="AI147" s="56"/>
      <c r="AJ147" s="72"/>
      <c r="AK147" s="72"/>
      <c r="AL147" s="72"/>
      <c r="AM147" s="56"/>
      <c r="AN147" s="72"/>
      <c r="AO147" s="72"/>
      <c r="AP147" s="72"/>
      <c r="AQ147" s="72"/>
      <c r="AR147" s="72"/>
      <c r="AS147" s="72"/>
      <c r="AT147" s="56"/>
      <c r="AU147" s="72"/>
      <c r="AV147" s="72"/>
      <c r="AW147" s="72"/>
      <c r="AX147" s="72"/>
      <c r="AY147" s="72"/>
      <c r="AZ147" s="72"/>
      <c r="BA147" s="72"/>
      <c r="BB147" s="72"/>
      <c r="BC147" s="72"/>
      <c r="BD147" s="72"/>
      <c r="BE147" s="72"/>
      <c r="BF147" s="72"/>
      <c r="BG147" s="56"/>
      <c r="BH147" s="99"/>
      <c r="BI147" s="99"/>
      <c r="BJ147" s="99">
        <f t="shared" si="8"/>
        <v>2.944</v>
      </c>
      <c r="BK147" s="99"/>
      <c r="BM147" s="56"/>
      <c r="BN147" s="56"/>
      <c r="BO147" s="56"/>
      <c r="BQ147" s="99"/>
      <c r="BR147" s="99"/>
      <c r="BS147" s="99"/>
    </row>
    <row r="148" spans="1:71" s="84" customFormat="1" ht="15" customHeight="1" x14ac:dyDescent="0.35">
      <c r="A148" s="92"/>
      <c r="B148" s="56"/>
      <c r="C148" s="99"/>
      <c r="D148" s="99"/>
      <c r="E148" s="99"/>
      <c r="F148" s="56"/>
      <c r="G148" s="56"/>
      <c r="H148" s="72"/>
      <c r="I148" s="72"/>
      <c r="J148" s="72"/>
      <c r="K148" s="72"/>
      <c r="L148" s="72"/>
      <c r="M148" s="72"/>
      <c r="N148" s="72"/>
      <c r="O148" s="72"/>
      <c r="P148" s="72"/>
      <c r="Q148" s="72"/>
      <c r="R148" s="72"/>
      <c r="S148" s="72"/>
      <c r="T148" s="56"/>
      <c r="U148" s="72"/>
      <c r="V148" s="72"/>
      <c r="W148" s="72"/>
      <c r="X148" s="72"/>
      <c r="Y148" s="56"/>
      <c r="Z148" s="72"/>
      <c r="AA148" s="72"/>
      <c r="AB148" s="72"/>
      <c r="AC148" s="56"/>
      <c r="AD148" s="56"/>
      <c r="AE148" s="56"/>
      <c r="AF148" s="56"/>
      <c r="AG148" s="56"/>
      <c r="AI148" s="56"/>
      <c r="AJ148" s="72"/>
      <c r="AK148" s="72"/>
      <c r="AL148" s="72"/>
      <c r="AM148" s="56"/>
      <c r="AN148" s="72"/>
      <c r="AO148" s="72"/>
      <c r="AP148" s="72"/>
      <c r="AQ148" s="72"/>
      <c r="AR148" s="72"/>
      <c r="AS148" s="72"/>
      <c r="AT148" s="56"/>
      <c r="AU148" s="72"/>
      <c r="AV148" s="72"/>
      <c r="AW148" s="72"/>
      <c r="AX148" s="72"/>
      <c r="AY148" s="72"/>
      <c r="AZ148" s="72"/>
      <c r="BA148" s="72"/>
      <c r="BB148" s="72"/>
      <c r="BC148" s="72"/>
      <c r="BD148" s="72"/>
      <c r="BE148" s="72"/>
      <c r="BF148" s="72"/>
      <c r="BG148" s="56"/>
      <c r="BH148" s="99"/>
      <c r="BI148" s="99"/>
      <c r="BJ148" s="99"/>
      <c r="BK148" s="99"/>
      <c r="BM148" s="56"/>
      <c r="BN148" s="56"/>
      <c r="BO148" s="56"/>
      <c r="BQ148" s="99"/>
      <c r="BR148" s="99"/>
      <c r="BS148" s="99"/>
    </row>
    <row r="149" spans="1:71" s="84" customFormat="1" ht="15" customHeight="1" x14ac:dyDescent="0.35">
      <c r="A149" s="92"/>
      <c r="B149" s="69" t="str">
        <f>'Popis del_fasada'!B197</f>
        <v>RAZNA DELA</v>
      </c>
      <c r="C149" s="99"/>
      <c r="D149" s="99"/>
      <c r="E149" s="99"/>
      <c r="F149" s="56"/>
      <c r="G149" s="56"/>
      <c r="H149" s="72"/>
      <c r="I149" s="72"/>
      <c r="J149" s="72"/>
      <c r="K149" s="72"/>
      <c r="L149" s="72"/>
      <c r="M149" s="72"/>
      <c r="N149" s="72"/>
      <c r="O149" s="72"/>
      <c r="P149" s="72"/>
      <c r="Q149" s="72"/>
      <c r="R149" s="72"/>
      <c r="S149" s="72"/>
      <c r="T149" s="56"/>
      <c r="U149" s="72"/>
      <c r="V149" s="72"/>
      <c r="W149" s="72"/>
      <c r="X149" s="72"/>
      <c r="Y149" s="56"/>
      <c r="Z149" s="72"/>
      <c r="AA149" s="72"/>
      <c r="AB149" s="72"/>
      <c r="AC149" s="56"/>
      <c r="AD149" s="56"/>
      <c r="AE149" s="56"/>
      <c r="AF149" s="56"/>
      <c r="AG149" s="56"/>
      <c r="AI149" s="56"/>
      <c r="AJ149" s="72"/>
      <c r="AK149" s="72"/>
      <c r="AL149" s="72"/>
      <c r="AM149" s="56"/>
      <c r="AN149" s="72"/>
      <c r="AO149" s="72"/>
      <c r="AP149" s="72"/>
      <c r="AQ149" s="72"/>
      <c r="AR149" s="72"/>
      <c r="AS149" s="72"/>
      <c r="AT149" s="56"/>
      <c r="AU149" s="72"/>
      <c r="AV149" s="72"/>
      <c r="AW149" s="72"/>
      <c r="AX149" s="72"/>
      <c r="AY149" s="72"/>
      <c r="AZ149" s="72"/>
      <c r="BA149" s="72"/>
      <c r="BB149" s="72"/>
      <c r="BC149" s="72"/>
      <c r="BD149" s="72"/>
      <c r="BE149" s="72"/>
      <c r="BF149" s="72"/>
      <c r="BG149" s="56"/>
      <c r="BH149" s="99"/>
      <c r="BI149" s="99"/>
      <c r="BJ149" s="99"/>
      <c r="BK149" s="99"/>
      <c r="BM149" s="56"/>
      <c r="BN149" s="56"/>
      <c r="BO149" s="56"/>
      <c r="BQ149" s="99"/>
      <c r="BR149" s="99"/>
      <c r="BS149" s="99"/>
    </row>
    <row r="150" spans="1:71" s="84" customFormat="1" ht="15" customHeight="1" x14ac:dyDescent="0.35">
      <c r="A150" s="92"/>
      <c r="B150" s="69"/>
      <c r="C150" s="99"/>
      <c r="D150" s="99"/>
      <c r="E150" s="99"/>
      <c r="F150" s="56"/>
      <c r="G150" s="56"/>
      <c r="H150" s="72"/>
      <c r="I150" s="72"/>
      <c r="J150" s="72"/>
      <c r="K150" s="72"/>
      <c r="L150" s="72"/>
      <c r="M150" s="72"/>
      <c r="N150" s="72"/>
      <c r="O150" s="72"/>
      <c r="P150" s="72"/>
      <c r="Q150" s="72"/>
      <c r="R150" s="72"/>
      <c r="S150" s="72"/>
      <c r="T150" s="56"/>
      <c r="U150" s="72"/>
      <c r="V150" s="72"/>
      <c r="W150" s="72"/>
      <c r="X150" s="72"/>
      <c r="Y150" s="56"/>
      <c r="Z150" s="72"/>
      <c r="AA150" s="72"/>
      <c r="AB150" s="72"/>
      <c r="AC150" s="56"/>
      <c r="AD150" s="56"/>
      <c r="AE150" s="56"/>
      <c r="AF150" s="56"/>
      <c r="AG150" s="56"/>
      <c r="AI150" s="56"/>
      <c r="AJ150" s="72"/>
      <c r="AK150" s="72"/>
      <c r="AL150" s="72"/>
      <c r="AM150" s="56"/>
      <c r="AN150" s="72"/>
      <c r="AO150" s="72"/>
      <c r="AP150" s="72"/>
      <c r="AQ150" s="72"/>
      <c r="AR150" s="72"/>
      <c r="AS150" s="72"/>
      <c r="AT150" s="56"/>
      <c r="AU150" s="72"/>
      <c r="AV150" s="72"/>
      <c r="AW150" s="72"/>
      <c r="AX150" s="72"/>
      <c r="AY150" s="72"/>
      <c r="AZ150" s="72"/>
      <c r="BA150" s="72"/>
      <c r="BB150" s="72"/>
      <c r="BC150" s="72"/>
      <c r="BD150" s="72"/>
      <c r="BE150" s="72"/>
      <c r="BF150" s="72"/>
      <c r="BG150" s="56"/>
      <c r="BH150" s="99"/>
      <c r="BI150" s="99"/>
      <c r="BJ150" s="99"/>
      <c r="BK150" s="99"/>
      <c r="BM150" s="56"/>
      <c r="BN150" s="56"/>
      <c r="BO150" s="56"/>
      <c r="BQ150" s="99"/>
      <c r="BR150" s="99"/>
      <c r="BS150" s="99"/>
    </row>
    <row r="151" spans="1:71" s="84" customFormat="1" ht="15" customHeight="1" x14ac:dyDescent="0.35">
      <c r="A151" s="92">
        <f>'Popis del_fasada'!A207</f>
        <v>5</v>
      </c>
      <c r="B151" s="69" t="s">
        <v>181</v>
      </c>
      <c r="C151" s="99">
        <v>3.44</v>
      </c>
      <c r="D151" s="99">
        <v>2.2999999999999998</v>
      </c>
      <c r="E151" s="99"/>
      <c r="F151" s="56"/>
      <c r="G151" s="56"/>
      <c r="H151" s="72"/>
      <c r="I151" s="72"/>
      <c r="J151" s="72"/>
      <c r="K151" s="72"/>
      <c r="L151" s="72"/>
      <c r="M151" s="72"/>
      <c r="N151" s="72"/>
      <c r="O151" s="72"/>
      <c r="P151" s="72"/>
      <c r="Q151" s="72"/>
      <c r="R151" s="72"/>
      <c r="S151" s="72"/>
      <c r="T151" s="56"/>
      <c r="U151" s="72"/>
      <c r="V151" s="72"/>
      <c r="W151" s="72"/>
      <c r="X151" s="72"/>
      <c r="Y151" s="56"/>
      <c r="Z151" s="72"/>
      <c r="AA151" s="72"/>
      <c r="AB151" s="72"/>
      <c r="AC151" s="56"/>
      <c r="AD151" s="56"/>
      <c r="AE151" s="56"/>
      <c r="AF151" s="56"/>
      <c r="AG151" s="56"/>
      <c r="AI151" s="56"/>
      <c r="AJ151" s="72"/>
      <c r="AK151" s="72"/>
      <c r="AL151" s="72"/>
      <c r="AM151" s="56"/>
      <c r="AN151" s="72"/>
      <c r="AO151" s="72"/>
      <c r="AP151" s="72"/>
      <c r="AQ151" s="72"/>
      <c r="AR151" s="72"/>
      <c r="AS151" s="72"/>
      <c r="AT151" s="56"/>
      <c r="AU151" s="72"/>
      <c r="AV151" s="72"/>
      <c r="AW151" s="72"/>
      <c r="AX151" s="72"/>
      <c r="AY151" s="72"/>
      <c r="AZ151" s="72"/>
      <c r="BA151" s="72"/>
      <c r="BB151" s="72"/>
      <c r="BC151" s="72"/>
      <c r="BD151" s="72"/>
      <c r="BE151" s="72"/>
      <c r="BF151" s="72"/>
      <c r="BG151" s="56"/>
      <c r="BH151" s="99"/>
      <c r="BI151" s="99"/>
      <c r="BJ151" s="99"/>
      <c r="BK151" s="99"/>
      <c r="BM151" s="56"/>
      <c r="BN151" s="56"/>
      <c r="BO151" s="56"/>
      <c r="BQ151" s="99"/>
      <c r="BR151" s="99">
        <f>C151*D151</f>
        <v>7.911999999999999</v>
      </c>
      <c r="BS151" s="99"/>
    </row>
    <row r="152" spans="1:71" s="84" customFormat="1" ht="15" customHeight="1" x14ac:dyDescent="0.35">
      <c r="A152" s="92"/>
      <c r="B152" s="69"/>
      <c r="C152" s="99"/>
      <c r="D152" s="99"/>
      <c r="E152" s="99"/>
      <c r="F152" s="56"/>
      <c r="G152" s="56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56"/>
      <c r="U152" s="72"/>
      <c r="V152" s="72"/>
      <c r="W152" s="72"/>
      <c r="X152" s="72"/>
      <c r="Y152" s="56"/>
      <c r="Z152" s="72"/>
      <c r="AA152" s="72"/>
      <c r="AB152" s="72"/>
      <c r="AC152" s="56"/>
      <c r="AD152" s="56"/>
      <c r="AE152" s="56"/>
      <c r="AF152" s="56"/>
      <c r="AG152" s="56"/>
      <c r="AI152" s="56"/>
      <c r="AJ152" s="72"/>
      <c r="AK152" s="72"/>
      <c r="AL152" s="72"/>
      <c r="AM152" s="56"/>
      <c r="AN152" s="72"/>
      <c r="AO152" s="72"/>
      <c r="AP152" s="72"/>
      <c r="AQ152" s="72"/>
      <c r="AR152" s="72"/>
      <c r="AS152" s="72"/>
      <c r="AT152" s="56"/>
      <c r="AU152" s="72"/>
      <c r="AV152" s="72"/>
      <c r="AW152" s="72"/>
      <c r="AX152" s="72"/>
      <c r="AY152" s="72"/>
      <c r="AZ152" s="72"/>
      <c r="BA152" s="72"/>
      <c r="BB152" s="72"/>
      <c r="BC152" s="72"/>
      <c r="BD152" s="72"/>
      <c r="BE152" s="72"/>
      <c r="BF152" s="72"/>
      <c r="BG152" s="56"/>
      <c r="BH152" s="99"/>
      <c r="BI152" s="99"/>
      <c r="BJ152" s="99"/>
      <c r="BK152" s="99"/>
      <c r="BM152" s="56"/>
      <c r="BN152" s="56"/>
      <c r="BO152" s="56"/>
      <c r="BQ152" s="99"/>
      <c r="BR152" s="99"/>
      <c r="BS152" s="99"/>
    </row>
    <row r="153" spans="1:71" s="84" customFormat="1" ht="15" customHeight="1" x14ac:dyDescent="0.35">
      <c r="A153" s="92">
        <f>'Popis del_fasada'!A213</f>
        <v>8</v>
      </c>
      <c r="B153" s="69" t="s">
        <v>110</v>
      </c>
      <c r="C153" s="56"/>
      <c r="D153" s="56"/>
      <c r="E153" s="56">
        <v>12</v>
      </c>
      <c r="F153" s="56"/>
      <c r="G153" s="56"/>
      <c r="H153" s="72"/>
      <c r="I153" s="72"/>
      <c r="J153" s="72"/>
      <c r="K153" s="72"/>
      <c r="L153" s="72"/>
      <c r="M153" s="72"/>
      <c r="N153" s="72"/>
      <c r="O153" s="72"/>
      <c r="P153" s="72"/>
      <c r="Q153" s="72"/>
      <c r="R153" s="72"/>
      <c r="S153" s="72"/>
      <c r="T153" s="56"/>
      <c r="U153" s="72"/>
      <c r="V153" s="72"/>
      <c r="W153" s="72"/>
      <c r="X153" s="72"/>
      <c r="Y153" s="56"/>
      <c r="Z153" s="72"/>
      <c r="AA153" s="72"/>
      <c r="AB153" s="72"/>
      <c r="AC153" s="56"/>
      <c r="AD153" s="56"/>
      <c r="AE153" s="56"/>
      <c r="AF153" s="56"/>
      <c r="AG153" s="56"/>
      <c r="AI153" s="56"/>
      <c r="AJ153" s="72"/>
      <c r="AK153" s="72"/>
      <c r="AL153" s="72"/>
      <c r="AM153" s="56"/>
      <c r="AN153" s="72"/>
      <c r="AO153" s="72"/>
      <c r="AP153" s="72"/>
      <c r="AQ153" s="72"/>
      <c r="AR153" s="72"/>
      <c r="AS153" s="72"/>
      <c r="AT153" s="56"/>
      <c r="AU153" s="72"/>
      <c r="AV153" s="72"/>
      <c r="AW153" s="72"/>
      <c r="AX153" s="72"/>
      <c r="AY153" s="72"/>
      <c r="AZ153" s="72"/>
      <c r="BA153" s="72"/>
      <c r="BB153" s="72"/>
      <c r="BC153" s="72"/>
      <c r="BD153" s="72"/>
      <c r="BE153" s="72"/>
      <c r="BF153" s="72"/>
      <c r="BG153" s="56"/>
      <c r="BH153" s="99"/>
      <c r="BI153" s="99"/>
      <c r="BJ153" s="99"/>
      <c r="BK153" s="99"/>
      <c r="BM153" s="56"/>
      <c r="BN153" s="56"/>
      <c r="BO153" s="56"/>
      <c r="BQ153" s="99">
        <f>E153</f>
        <v>12</v>
      </c>
      <c r="BR153" s="99"/>
      <c r="BS153" s="99"/>
    </row>
    <row r="154" spans="1:71" s="84" customFormat="1" ht="15" customHeight="1" x14ac:dyDescent="0.35">
      <c r="A154" s="92"/>
      <c r="B154" s="69"/>
      <c r="C154" s="56"/>
      <c r="D154" s="56"/>
      <c r="E154" s="56"/>
      <c r="F154" s="56"/>
      <c r="G154" s="56"/>
      <c r="H154" s="72"/>
      <c r="I154" s="72"/>
      <c r="J154" s="72"/>
      <c r="K154" s="72"/>
      <c r="L154" s="72"/>
      <c r="M154" s="72"/>
      <c r="N154" s="72"/>
      <c r="O154" s="72"/>
      <c r="P154" s="72"/>
      <c r="Q154" s="72"/>
      <c r="R154" s="72"/>
      <c r="S154" s="72"/>
      <c r="T154" s="56"/>
      <c r="U154" s="72"/>
      <c r="V154" s="72"/>
      <c r="W154" s="72"/>
      <c r="X154" s="72"/>
      <c r="Y154" s="56"/>
      <c r="Z154" s="72"/>
      <c r="AA154" s="72"/>
      <c r="AB154" s="72"/>
      <c r="AC154" s="56"/>
      <c r="AD154" s="56"/>
      <c r="AE154" s="56"/>
      <c r="AF154" s="56"/>
      <c r="AG154" s="56"/>
      <c r="AI154" s="56"/>
      <c r="AJ154" s="72"/>
      <c r="AK154" s="72"/>
      <c r="AL154" s="72"/>
      <c r="AM154" s="56"/>
      <c r="AN154" s="72"/>
      <c r="AO154" s="72"/>
      <c r="AP154" s="72"/>
      <c r="AQ154" s="72"/>
      <c r="AR154" s="72"/>
      <c r="AS154" s="72"/>
      <c r="AT154" s="56"/>
      <c r="AU154" s="72"/>
      <c r="AV154" s="72"/>
      <c r="AW154" s="72"/>
      <c r="AX154" s="72"/>
      <c r="AY154" s="72"/>
      <c r="AZ154" s="72"/>
      <c r="BA154" s="72"/>
      <c r="BB154" s="72"/>
      <c r="BC154" s="72"/>
      <c r="BD154" s="72"/>
      <c r="BE154" s="72"/>
      <c r="BF154" s="72"/>
      <c r="BG154" s="56"/>
      <c r="BH154" s="99"/>
      <c r="BI154" s="99"/>
      <c r="BJ154" s="99"/>
      <c r="BK154" s="99"/>
      <c r="BM154" s="56"/>
      <c r="BN154" s="56"/>
      <c r="BO154" s="56"/>
      <c r="BQ154" s="99"/>
      <c r="BR154" s="99"/>
      <c r="BS154" s="99"/>
    </row>
    <row r="155" spans="1:71" s="84" customFormat="1" ht="15" customHeight="1" x14ac:dyDescent="0.35">
      <c r="A155" s="136"/>
      <c r="B155" s="87" t="s">
        <v>70</v>
      </c>
      <c r="C155" s="53"/>
      <c r="D155" s="53"/>
      <c r="E155" s="53"/>
      <c r="F155" s="53"/>
      <c r="G155" s="53"/>
      <c r="H155" s="90"/>
      <c r="I155" s="90"/>
      <c r="J155" s="74"/>
      <c r="K155" s="74"/>
      <c r="L155" s="74"/>
      <c r="M155" s="90"/>
      <c r="N155" s="74"/>
      <c r="O155" s="74"/>
      <c r="P155" s="74"/>
      <c r="Q155" s="74"/>
      <c r="R155" s="74"/>
      <c r="S155" s="74"/>
      <c r="T155" s="97"/>
      <c r="U155" s="90"/>
      <c r="V155" s="90"/>
      <c r="W155" s="90"/>
      <c r="X155" s="90"/>
      <c r="Y155" s="97"/>
      <c r="Z155" s="90"/>
      <c r="AA155" s="90"/>
      <c r="AB155" s="90"/>
      <c r="AC155" s="97"/>
      <c r="AD155" s="97"/>
      <c r="AE155" s="97"/>
      <c r="AF155" s="97"/>
      <c r="AG155" s="97"/>
      <c r="AI155" s="97"/>
      <c r="AJ155" s="90"/>
      <c r="AK155" s="90"/>
      <c r="AL155" s="90"/>
      <c r="AM155" s="53"/>
      <c r="AN155" s="90"/>
      <c r="AO155" s="74"/>
      <c r="AP155" s="74"/>
      <c r="AQ155" s="74"/>
      <c r="AR155" s="74"/>
      <c r="AS155" s="74"/>
      <c r="AT155" s="53"/>
      <c r="AU155" s="90"/>
      <c r="AV155" s="90"/>
      <c r="AW155" s="90"/>
      <c r="AX155" s="90"/>
      <c r="AY155" s="90"/>
      <c r="AZ155" s="90"/>
      <c r="BA155" s="90"/>
      <c r="BB155" s="90"/>
      <c r="BC155" s="90"/>
      <c r="BD155" s="90"/>
      <c r="BE155" s="90"/>
      <c r="BF155" s="90"/>
      <c r="BG155" s="97"/>
      <c r="BH155" s="99"/>
      <c r="BI155" s="99"/>
      <c r="BJ155" s="99"/>
      <c r="BK155" s="99"/>
      <c r="BM155" s="53"/>
      <c r="BN155" s="97"/>
      <c r="BO155" s="53"/>
      <c r="BQ155" s="99"/>
      <c r="BR155" s="99"/>
      <c r="BS155" s="99"/>
    </row>
    <row r="156" spans="1:71" s="84" customFormat="1" ht="15" customHeight="1" x14ac:dyDescent="0.35">
      <c r="A156" s="136"/>
      <c r="B156" s="51"/>
      <c r="C156" s="90"/>
      <c r="D156" s="90"/>
      <c r="E156" s="90"/>
      <c r="F156" s="53"/>
      <c r="G156" s="53"/>
      <c r="H156" s="90"/>
      <c r="I156" s="90"/>
      <c r="J156" s="74"/>
      <c r="K156" s="74"/>
      <c r="L156" s="74"/>
      <c r="M156" s="90"/>
      <c r="N156" s="74"/>
      <c r="O156" s="74"/>
      <c r="P156" s="74"/>
      <c r="Q156" s="74"/>
      <c r="R156" s="74"/>
      <c r="S156" s="74"/>
      <c r="T156" s="97"/>
      <c r="U156" s="90"/>
      <c r="V156" s="90"/>
      <c r="W156" s="90"/>
      <c r="X156" s="90"/>
      <c r="Y156" s="97"/>
      <c r="Z156" s="90"/>
      <c r="AA156" s="90"/>
      <c r="AB156" s="90"/>
      <c r="AC156" s="97"/>
      <c r="AD156" s="97"/>
      <c r="AE156" s="97"/>
      <c r="AF156" s="97"/>
      <c r="AG156" s="97"/>
      <c r="AI156" s="97"/>
      <c r="AJ156" s="90"/>
      <c r="AK156" s="90"/>
      <c r="AL156" s="90"/>
      <c r="AM156" s="53"/>
      <c r="AN156" s="90"/>
      <c r="AO156" s="74"/>
      <c r="AP156" s="74"/>
      <c r="AQ156" s="74"/>
      <c r="AR156" s="74"/>
      <c r="AS156" s="74"/>
      <c r="AT156" s="53"/>
      <c r="AU156" s="90"/>
      <c r="AV156" s="90"/>
      <c r="AW156" s="90"/>
      <c r="AX156" s="90"/>
      <c r="AY156" s="90"/>
      <c r="AZ156" s="90"/>
      <c r="BA156" s="90"/>
      <c r="BB156" s="90"/>
      <c r="BC156" s="90"/>
      <c r="BD156" s="90"/>
      <c r="BE156" s="90"/>
      <c r="BF156" s="90"/>
      <c r="BG156" s="97"/>
      <c r="BH156" s="99"/>
      <c r="BI156" s="99"/>
      <c r="BJ156" s="99"/>
      <c r="BK156" s="99"/>
      <c r="BM156" s="53"/>
      <c r="BN156" s="97"/>
      <c r="BO156" s="53"/>
      <c r="BQ156" s="99"/>
      <c r="BR156" s="99"/>
      <c r="BS156" s="99"/>
    </row>
    <row r="157" spans="1:71" s="84" customFormat="1" ht="15" customHeight="1" x14ac:dyDescent="0.35">
      <c r="A157" s="92"/>
      <c r="B157" s="69" t="str">
        <f>'Popis del_fasada'!B27</f>
        <v>RUŠITVENA IN ODSTRANITVENA DELA</v>
      </c>
      <c r="C157" s="90"/>
      <c r="D157" s="90"/>
      <c r="E157" s="90"/>
      <c r="F157" s="53"/>
      <c r="G157" s="53"/>
      <c r="H157" s="90"/>
      <c r="I157" s="90"/>
      <c r="J157" s="74"/>
      <c r="K157" s="74"/>
      <c r="L157" s="74"/>
      <c r="M157" s="90"/>
      <c r="N157" s="74"/>
      <c r="O157" s="74"/>
      <c r="P157" s="74"/>
      <c r="Q157" s="74"/>
      <c r="R157" s="74"/>
      <c r="S157" s="74"/>
      <c r="T157" s="97"/>
      <c r="U157" s="90"/>
      <c r="V157" s="90"/>
      <c r="W157" s="90"/>
      <c r="X157" s="90"/>
      <c r="Y157" s="97"/>
      <c r="Z157" s="90"/>
      <c r="AA157" s="90"/>
      <c r="AB157" s="90"/>
      <c r="AC157" s="97"/>
      <c r="AD157" s="97"/>
      <c r="AE157" s="97"/>
      <c r="AF157" s="97"/>
      <c r="AG157" s="97"/>
      <c r="AI157" s="97"/>
      <c r="AJ157" s="90"/>
      <c r="AK157" s="90"/>
      <c r="AL157" s="90"/>
      <c r="AM157" s="53"/>
      <c r="AN157" s="90"/>
      <c r="AO157" s="74"/>
      <c r="AP157" s="74"/>
      <c r="AQ157" s="74"/>
      <c r="AR157" s="74"/>
      <c r="AS157" s="74"/>
      <c r="AT157" s="53"/>
      <c r="AU157" s="90"/>
      <c r="AV157" s="90"/>
      <c r="AW157" s="90"/>
      <c r="AX157" s="90"/>
      <c r="AY157" s="90"/>
      <c r="AZ157" s="90"/>
      <c r="BA157" s="90"/>
      <c r="BB157" s="90"/>
      <c r="BC157" s="90"/>
      <c r="BD157" s="90"/>
      <c r="BE157" s="90"/>
      <c r="BF157" s="90"/>
      <c r="BG157" s="97"/>
      <c r="BH157" s="99"/>
      <c r="BI157" s="99"/>
      <c r="BJ157" s="99"/>
      <c r="BK157" s="99"/>
      <c r="BM157" s="53"/>
      <c r="BN157" s="97"/>
      <c r="BO157" s="53"/>
      <c r="BQ157" s="99"/>
      <c r="BR157" s="99"/>
      <c r="BS157" s="99"/>
    </row>
    <row r="158" spans="1:71" s="84" customFormat="1" ht="15" customHeight="1" x14ac:dyDescent="0.35">
      <c r="A158" s="92" t="str">
        <f>'Popis del_fasada'!A31</f>
        <v>1</v>
      </c>
      <c r="B158" s="69" t="s">
        <v>152</v>
      </c>
      <c r="C158" s="90"/>
      <c r="D158" s="90"/>
      <c r="E158" s="90"/>
      <c r="F158" s="53"/>
      <c r="G158" s="53"/>
      <c r="H158" s="90"/>
      <c r="I158" s="90"/>
      <c r="J158" s="74"/>
      <c r="K158" s="74"/>
      <c r="L158" s="74"/>
      <c r="M158" s="90"/>
      <c r="N158" s="74"/>
      <c r="O158" s="74"/>
      <c r="P158" s="74"/>
      <c r="Q158" s="74"/>
      <c r="R158" s="74"/>
      <c r="S158" s="74"/>
      <c r="T158" s="97"/>
      <c r="U158" s="90"/>
      <c r="V158" s="90"/>
      <c r="W158" s="90"/>
      <c r="X158" s="90"/>
      <c r="Y158" s="97"/>
      <c r="Z158" s="90"/>
      <c r="AA158" s="90"/>
      <c r="AB158" s="90"/>
      <c r="AC158" s="97"/>
      <c r="AD158" s="97"/>
      <c r="AE158" s="97"/>
      <c r="AF158" s="97"/>
      <c r="AG158" s="97"/>
      <c r="AI158" s="97"/>
      <c r="AJ158" s="90"/>
      <c r="AK158" s="90"/>
      <c r="AL158" s="90"/>
      <c r="AM158" s="53"/>
      <c r="AN158" s="90"/>
      <c r="AO158" s="74"/>
      <c r="AP158" s="74"/>
      <c r="AQ158" s="74"/>
      <c r="AR158" s="74"/>
      <c r="AS158" s="74"/>
      <c r="AT158" s="53"/>
      <c r="AU158" s="90"/>
      <c r="AV158" s="90"/>
      <c r="AW158" s="90"/>
      <c r="AX158" s="90"/>
      <c r="AY158" s="90"/>
      <c r="AZ158" s="90"/>
      <c r="BA158" s="90"/>
      <c r="BB158" s="90"/>
      <c r="BC158" s="90"/>
      <c r="BD158" s="90"/>
      <c r="BE158" s="90"/>
      <c r="BF158" s="90"/>
      <c r="BG158" s="97"/>
      <c r="BH158" s="99"/>
      <c r="BI158" s="99"/>
      <c r="BJ158" s="99"/>
      <c r="BK158" s="99"/>
      <c r="BM158" s="53"/>
      <c r="BN158" s="97"/>
      <c r="BO158" s="53"/>
      <c r="BQ158" s="99"/>
      <c r="BR158" s="99"/>
      <c r="BS158" s="99"/>
    </row>
    <row r="159" spans="1:71" s="84" customFormat="1" ht="15" customHeight="1" x14ac:dyDescent="0.45">
      <c r="A159" s="92"/>
      <c r="B159" s="56" t="s">
        <v>227</v>
      </c>
      <c r="C159" s="56">
        <v>0.82</v>
      </c>
      <c r="D159" s="56">
        <v>0.81</v>
      </c>
      <c r="E159" s="56">
        <v>1</v>
      </c>
      <c r="F159" s="53"/>
      <c r="G159" s="53"/>
      <c r="H159" s="90"/>
      <c r="I159" s="90">
        <f>E159</f>
        <v>1</v>
      </c>
      <c r="J159" s="72">
        <f t="shared" ref="J159:J165" si="9">(C159+2*D159)*E159*$C$6</f>
        <v>0.34160000000000001</v>
      </c>
      <c r="K159" s="72">
        <f t="shared" ref="K159:K163" si="10">C159*E159</f>
        <v>0.82</v>
      </c>
      <c r="L159" s="74"/>
      <c r="M159" s="90"/>
      <c r="N159" s="74"/>
      <c r="O159" s="74"/>
      <c r="P159" s="74"/>
      <c r="Q159" s="74"/>
      <c r="R159" s="74"/>
      <c r="S159" s="74"/>
      <c r="T159" s="97"/>
      <c r="U159" s="90"/>
      <c r="V159" s="90"/>
      <c r="W159" s="90"/>
      <c r="X159" s="90"/>
      <c r="Y159" s="97"/>
      <c r="Z159" s="90"/>
      <c r="AA159" s="90"/>
      <c r="AB159" s="90"/>
      <c r="AC159" s="56"/>
      <c r="AD159" s="97"/>
      <c r="AE159" s="97"/>
      <c r="AF159" s="97"/>
      <c r="AG159" s="97"/>
      <c r="AI159" s="97"/>
      <c r="AJ159" s="90"/>
      <c r="AK159" s="90"/>
      <c r="AL159" s="90"/>
      <c r="AM159" s="53"/>
      <c r="AN159" s="90"/>
      <c r="AO159" s="74"/>
      <c r="AP159" s="74"/>
      <c r="AQ159" s="74"/>
      <c r="AR159" s="74"/>
      <c r="AS159" s="74"/>
      <c r="AT159" s="53"/>
      <c r="AU159" s="90"/>
      <c r="AV159" s="90"/>
      <c r="AW159" s="90"/>
      <c r="AX159" s="90"/>
      <c r="AY159" s="90"/>
      <c r="AZ159" s="90"/>
      <c r="BA159" s="90"/>
      <c r="BB159" s="90"/>
      <c r="BC159" s="90"/>
      <c r="BD159" s="90"/>
      <c r="BE159" s="90"/>
      <c r="BF159" s="90"/>
      <c r="BG159" s="97"/>
      <c r="BH159" s="99"/>
      <c r="BI159" s="99"/>
      <c r="BJ159" s="99"/>
      <c r="BK159" s="99"/>
      <c r="BM159" s="53"/>
      <c r="BN159" s="97"/>
      <c r="BO159" s="53"/>
      <c r="BQ159" s="99"/>
      <c r="BR159" s="99"/>
      <c r="BS159" s="99"/>
    </row>
    <row r="160" spans="1:71" s="84" customFormat="1" ht="15" customHeight="1" x14ac:dyDescent="0.45">
      <c r="A160" s="92"/>
      <c r="B160" s="56" t="s">
        <v>228</v>
      </c>
      <c r="C160" s="56">
        <v>1.5</v>
      </c>
      <c r="D160" s="56">
        <v>1.55</v>
      </c>
      <c r="E160" s="56">
        <v>1</v>
      </c>
      <c r="F160" s="53"/>
      <c r="G160" s="53"/>
      <c r="H160" s="90"/>
      <c r="I160" s="90">
        <f>E160</f>
        <v>1</v>
      </c>
      <c r="J160" s="72">
        <f t="shared" si="9"/>
        <v>0.64400000000000002</v>
      </c>
      <c r="K160" s="72">
        <f t="shared" si="10"/>
        <v>1.5</v>
      </c>
      <c r="L160" s="74"/>
      <c r="M160" s="90"/>
      <c r="N160" s="74"/>
      <c r="O160" s="74"/>
      <c r="P160" s="74"/>
      <c r="Q160" s="74"/>
      <c r="R160" s="74"/>
      <c r="S160" s="74"/>
      <c r="T160" s="97"/>
      <c r="U160" s="90"/>
      <c r="V160" s="90"/>
      <c r="W160" s="90"/>
      <c r="X160" s="90"/>
      <c r="Y160" s="97"/>
      <c r="Z160" s="90"/>
      <c r="AA160" s="90"/>
      <c r="AB160" s="90"/>
      <c r="AC160" s="56"/>
      <c r="AD160" s="97"/>
      <c r="AE160" s="97"/>
      <c r="AF160" s="97"/>
      <c r="AG160" s="97"/>
      <c r="AI160" s="97"/>
      <c r="AJ160" s="90"/>
      <c r="AK160" s="90"/>
      <c r="AL160" s="90"/>
      <c r="AM160" s="53"/>
      <c r="AN160" s="90"/>
      <c r="AO160" s="74"/>
      <c r="AP160" s="74"/>
      <c r="AQ160" s="74"/>
      <c r="AR160" s="74"/>
      <c r="AS160" s="74"/>
      <c r="AT160" s="53"/>
      <c r="AU160" s="90"/>
      <c r="AV160" s="90"/>
      <c r="AW160" s="90"/>
      <c r="AX160" s="90"/>
      <c r="AY160" s="90"/>
      <c r="AZ160" s="90"/>
      <c r="BA160" s="90"/>
      <c r="BB160" s="90"/>
      <c r="BC160" s="90"/>
      <c r="BD160" s="90"/>
      <c r="BE160" s="90"/>
      <c r="BF160" s="90"/>
      <c r="BG160" s="97"/>
      <c r="BH160" s="99"/>
      <c r="BI160" s="99"/>
      <c r="BJ160" s="99"/>
      <c r="BK160" s="99"/>
      <c r="BM160" s="53"/>
      <c r="BN160" s="97"/>
      <c r="BO160" s="53"/>
      <c r="BQ160" s="99"/>
      <c r="BR160" s="99"/>
      <c r="BS160" s="99"/>
    </row>
    <row r="161" spans="1:71" s="84" customFormat="1" ht="15" customHeight="1" x14ac:dyDescent="0.45">
      <c r="A161" s="92"/>
      <c r="B161" s="56" t="s">
        <v>229</v>
      </c>
      <c r="C161" s="56">
        <v>0.66</v>
      </c>
      <c r="D161" s="56">
        <v>0.61</v>
      </c>
      <c r="E161" s="56">
        <v>1</v>
      </c>
      <c r="F161" s="53"/>
      <c r="G161" s="53"/>
      <c r="H161" s="90"/>
      <c r="I161" s="90"/>
      <c r="J161" s="72">
        <f t="shared" si="9"/>
        <v>0.26319999999999999</v>
      </c>
      <c r="K161" s="72">
        <f t="shared" si="10"/>
        <v>0.66</v>
      </c>
      <c r="L161" s="74"/>
      <c r="M161" s="90"/>
      <c r="N161" s="74"/>
      <c r="O161" s="74"/>
      <c r="P161" s="74"/>
      <c r="Q161" s="74"/>
      <c r="R161" s="74"/>
      <c r="S161" s="74"/>
      <c r="T161" s="97"/>
      <c r="U161" s="90"/>
      <c r="V161" s="90"/>
      <c r="W161" s="90"/>
      <c r="X161" s="90"/>
      <c r="Y161" s="97"/>
      <c r="Z161" s="90"/>
      <c r="AA161" s="90"/>
      <c r="AB161" s="90"/>
      <c r="AC161" s="56"/>
      <c r="AD161" s="97"/>
      <c r="AE161" s="97"/>
      <c r="AF161" s="97"/>
      <c r="AG161" s="97"/>
      <c r="AI161" s="97"/>
      <c r="AJ161" s="90"/>
      <c r="AK161" s="90"/>
      <c r="AL161" s="90"/>
      <c r="AM161" s="53"/>
      <c r="AN161" s="90"/>
      <c r="AO161" s="74"/>
      <c r="AP161" s="74"/>
      <c r="AQ161" s="74"/>
      <c r="AR161" s="74"/>
      <c r="AS161" s="74"/>
      <c r="AT161" s="53"/>
      <c r="AU161" s="90"/>
      <c r="AV161" s="90"/>
      <c r="AW161" s="90"/>
      <c r="AX161" s="90"/>
      <c r="AY161" s="90"/>
      <c r="AZ161" s="90"/>
      <c r="BA161" s="90"/>
      <c r="BB161" s="90"/>
      <c r="BC161" s="90"/>
      <c r="BD161" s="90"/>
      <c r="BE161" s="90"/>
      <c r="BF161" s="90"/>
      <c r="BG161" s="97"/>
      <c r="BH161" s="99"/>
      <c r="BI161" s="99"/>
      <c r="BJ161" s="99"/>
      <c r="BK161" s="99"/>
      <c r="BM161" s="53"/>
      <c r="BN161" s="97"/>
      <c r="BO161" s="53"/>
      <c r="BQ161" s="99"/>
      <c r="BR161" s="99"/>
      <c r="BS161" s="99"/>
    </row>
    <row r="162" spans="1:71" s="84" customFormat="1" ht="15" customHeight="1" x14ac:dyDescent="0.45">
      <c r="A162" s="92"/>
      <c r="B162" s="56" t="s">
        <v>230</v>
      </c>
      <c r="C162" s="56">
        <v>0.6</v>
      </c>
      <c r="D162" s="56">
        <v>0.65</v>
      </c>
      <c r="E162" s="56">
        <v>1</v>
      </c>
      <c r="F162" s="53"/>
      <c r="G162" s="53"/>
      <c r="H162" s="90"/>
      <c r="I162" s="90"/>
      <c r="J162" s="72">
        <f t="shared" si="9"/>
        <v>0.26600000000000001</v>
      </c>
      <c r="K162" s="72">
        <f t="shared" si="10"/>
        <v>0.6</v>
      </c>
      <c r="L162" s="74"/>
      <c r="M162" s="90"/>
      <c r="N162" s="74"/>
      <c r="O162" s="74"/>
      <c r="P162" s="74"/>
      <c r="Q162" s="74"/>
      <c r="R162" s="74"/>
      <c r="S162" s="74"/>
      <c r="T162" s="97"/>
      <c r="U162" s="90"/>
      <c r="V162" s="90"/>
      <c r="W162" s="90"/>
      <c r="X162" s="90"/>
      <c r="Y162" s="97"/>
      <c r="Z162" s="90"/>
      <c r="AA162" s="90"/>
      <c r="AB162" s="90"/>
      <c r="AC162" s="56"/>
      <c r="AD162" s="97"/>
      <c r="AE162" s="97"/>
      <c r="AF162" s="97"/>
      <c r="AG162" s="97"/>
      <c r="AI162" s="97"/>
      <c r="AJ162" s="90"/>
      <c r="AK162" s="90"/>
      <c r="AL162" s="90"/>
      <c r="AM162" s="53"/>
      <c r="AN162" s="90"/>
      <c r="AO162" s="74"/>
      <c r="AP162" s="74"/>
      <c r="AQ162" s="74"/>
      <c r="AR162" s="74"/>
      <c r="AS162" s="74"/>
      <c r="AT162" s="53"/>
      <c r="AU162" s="90"/>
      <c r="AV162" s="90"/>
      <c r="AW162" s="90"/>
      <c r="AX162" s="90"/>
      <c r="AY162" s="90"/>
      <c r="AZ162" s="90"/>
      <c r="BA162" s="90"/>
      <c r="BB162" s="90"/>
      <c r="BC162" s="90"/>
      <c r="BD162" s="90"/>
      <c r="BE162" s="90"/>
      <c r="BF162" s="90"/>
      <c r="BG162" s="97"/>
      <c r="BH162" s="99"/>
      <c r="BI162" s="99"/>
      <c r="BJ162" s="99"/>
      <c r="BK162" s="99"/>
      <c r="BM162" s="53"/>
      <c r="BN162" s="97"/>
      <c r="BO162" s="53"/>
      <c r="BQ162" s="99"/>
      <c r="BR162" s="99"/>
      <c r="BS162" s="99"/>
    </row>
    <row r="163" spans="1:71" s="84" customFormat="1" ht="15" customHeight="1" x14ac:dyDescent="0.45">
      <c r="A163" s="92"/>
      <c r="B163" s="56" t="s">
        <v>231</v>
      </c>
      <c r="C163" s="56">
        <v>0.63</v>
      </c>
      <c r="D163" s="56">
        <v>0.64</v>
      </c>
      <c r="E163" s="56">
        <v>1</v>
      </c>
      <c r="F163" s="53"/>
      <c r="G163" s="53"/>
      <c r="H163" s="90"/>
      <c r="I163" s="90"/>
      <c r="J163" s="72">
        <f t="shared" ref="J163" si="11">(C163+2*D163)*E163*$C$6</f>
        <v>0.26740000000000003</v>
      </c>
      <c r="K163" s="72">
        <f t="shared" si="10"/>
        <v>0.63</v>
      </c>
      <c r="L163" s="74"/>
      <c r="M163" s="90"/>
      <c r="N163" s="74"/>
      <c r="O163" s="74"/>
      <c r="P163" s="74"/>
      <c r="Q163" s="74"/>
      <c r="R163" s="74"/>
      <c r="S163" s="74"/>
      <c r="T163" s="97"/>
      <c r="U163" s="90"/>
      <c r="V163" s="90"/>
      <c r="W163" s="90"/>
      <c r="X163" s="90"/>
      <c r="Y163" s="97"/>
      <c r="Z163" s="90"/>
      <c r="AA163" s="90"/>
      <c r="AB163" s="90"/>
      <c r="AC163" s="56"/>
      <c r="AD163" s="97"/>
      <c r="AE163" s="97"/>
      <c r="AF163" s="97"/>
      <c r="AG163" s="97"/>
      <c r="AI163" s="97"/>
      <c r="AJ163" s="90"/>
      <c r="AK163" s="90"/>
      <c r="AL163" s="90"/>
      <c r="AM163" s="53"/>
      <c r="AN163" s="90"/>
      <c r="AO163" s="74"/>
      <c r="AP163" s="74"/>
      <c r="AQ163" s="74"/>
      <c r="AR163" s="74"/>
      <c r="AS163" s="74"/>
      <c r="AT163" s="53"/>
      <c r="AU163" s="90"/>
      <c r="AV163" s="90"/>
      <c r="AW163" s="90"/>
      <c r="AX163" s="90"/>
      <c r="AY163" s="90"/>
      <c r="AZ163" s="90"/>
      <c r="BA163" s="90"/>
      <c r="BB163" s="90"/>
      <c r="BC163" s="90"/>
      <c r="BD163" s="90"/>
      <c r="BE163" s="90"/>
      <c r="BF163" s="90"/>
      <c r="BG163" s="97"/>
      <c r="BH163" s="99"/>
      <c r="BI163" s="99"/>
      <c r="BJ163" s="99"/>
      <c r="BK163" s="99"/>
      <c r="BM163" s="53"/>
      <c r="BN163" s="97"/>
      <c r="BO163" s="53"/>
      <c r="BQ163" s="99"/>
      <c r="BR163" s="99"/>
      <c r="BS163" s="99"/>
    </row>
    <row r="164" spans="1:71" s="84" customFormat="1" ht="15" customHeight="1" x14ac:dyDescent="0.45">
      <c r="A164" s="92"/>
      <c r="B164" s="56" t="s">
        <v>232</v>
      </c>
      <c r="C164" s="56">
        <v>1</v>
      </c>
      <c r="D164" s="56">
        <v>2.16</v>
      </c>
      <c r="E164" s="56">
        <v>1</v>
      </c>
      <c r="F164" s="53"/>
      <c r="G164" s="53"/>
      <c r="H164" s="90"/>
      <c r="I164" s="90"/>
      <c r="J164" s="72">
        <f t="shared" si="9"/>
        <v>0.74480000000000013</v>
      </c>
      <c r="K164" s="74"/>
      <c r="L164" s="74"/>
      <c r="M164" s="90"/>
      <c r="N164" s="74"/>
      <c r="O164" s="74"/>
      <c r="P164" s="74"/>
      <c r="Q164" s="74"/>
      <c r="R164" s="74"/>
      <c r="S164" s="74"/>
      <c r="T164" s="97"/>
      <c r="U164" s="90"/>
      <c r="V164" s="90"/>
      <c r="W164" s="90"/>
      <c r="X164" s="90"/>
      <c r="Y164" s="97"/>
      <c r="Z164" s="90"/>
      <c r="AA164" s="90"/>
      <c r="AB164" s="90"/>
      <c r="AC164" s="56"/>
      <c r="AD164" s="97"/>
      <c r="AE164" s="97"/>
      <c r="AF164" s="97"/>
      <c r="AG164" s="97"/>
      <c r="AI164" s="97"/>
      <c r="AJ164" s="90"/>
      <c r="AK164" s="90"/>
      <c r="AL164" s="90"/>
      <c r="AM164" s="53"/>
      <c r="AN164" s="90"/>
      <c r="AO164" s="74"/>
      <c r="AP164" s="74"/>
      <c r="AQ164" s="74"/>
      <c r="AR164" s="74"/>
      <c r="AS164" s="74"/>
      <c r="AT164" s="53"/>
      <c r="AU164" s="90"/>
      <c r="AV164" s="90"/>
      <c r="AW164" s="90"/>
      <c r="AX164" s="90"/>
      <c r="AY164" s="90"/>
      <c r="AZ164" s="90"/>
      <c r="BA164" s="90"/>
      <c r="BB164" s="90"/>
      <c r="BC164" s="90"/>
      <c r="BD164" s="90"/>
      <c r="BE164" s="90"/>
      <c r="BF164" s="90"/>
      <c r="BG164" s="97"/>
      <c r="BH164" s="99"/>
      <c r="BI164" s="99"/>
      <c r="BJ164" s="99"/>
      <c r="BK164" s="99"/>
      <c r="BM164" s="53"/>
      <c r="BN164" s="97"/>
      <c r="BO164" s="53"/>
      <c r="BQ164" s="99"/>
      <c r="BR164" s="99"/>
      <c r="BS164" s="99"/>
    </row>
    <row r="165" spans="1:71" s="84" customFormat="1" ht="15" customHeight="1" x14ac:dyDescent="0.45">
      <c r="A165" s="92"/>
      <c r="B165" s="56" t="s">
        <v>233</v>
      </c>
      <c r="C165" s="56">
        <v>0.72</v>
      </c>
      <c r="D165" s="56">
        <v>2.2599999999999998</v>
      </c>
      <c r="E165" s="56">
        <v>1</v>
      </c>
      <c r="F165" s="53"/>
      <c r="G165" s="53"/>
      <c r="H165" s="90"/>
      <c r="I165" s="90"/>
      <c r="J165" s="72">
        <f t="shared" si="9"/>
        <v>0.73360000000000003</v>
      </c>
      <c r="K165" s="74"/>
      <c r="L165" s="74"/>
      <c r="M165" s="90"/>
      <c r="N165" s="74"/>
      <c r="O165" s="74"/>
      <c r="P165" s="74"/>
      <c r="Q165" s="74"/>
      <c r="R165" s="74"/>
      <c r="S165" s="74"/>
      <c r="T165" s="97"/>
      <c r="U165" s="90"/>
      <c r="V165" s="90"/>
      <c r="W165" s="90"/>
      <c r="X165" s="90"/>
      <c r="Y165" s="97"/>
      <c r="Z165" s="90"/>
      <c r="AA165" s="90"/>
      <c r="AB165" s="90"/>
      <c r="AC165" s="56"/>
      <c r="AD165" s="97"/>
      <c r="AE165" s="97"/>
      <c r="AF165" s="97"/>
      <c r="AG165" s="97"/>
      <c r="AI165" s="97"/>
      <c r="AJ165" s="90"/>
      <c r="AK165" s="90"/>
      <c r="AL165" s="90"/>
      <c r="AM165" s="53"/>
      <c r="AN165" s="90"/>
      <c r="AO165" s="74"/>
      <c r="AP165" s="74"/>
      <c r="AQ165" s="74"/>
      <c r="AR165" s="74"/>
      <c r="AS165" s="74"/>
      <c r="AT165" s="53"/>
      <c r="AU165" s="90"/>
      <c r="AV165" s="90"/>
      <c r="AW165" s="90"/>
      <c r="AX165" s="90"/>
      <c r="AY165" s="90"/>
      <c r="AZ165" s="90"/>
      <c r="BA165" s="90"/>
      <c r="BB165" s="90"/>
      <c r="BC165" s="90"/>
      <c r="BD165" s="90"/>
      <c r="BE165" s="90"/>
      <c r="BF165" s="90"/>
      <c r="BG165" s="97"/>
      <c r="BH165" s="99"/>
      <c r="BI165" s="99"/>
      <c r="BJ165" s="99"/>
      <c r="BK165" s="99"/>
      <c r="BM165" s="53"/>
      <c r="BN165" s="97"/>
      <c r="BO165" s="53"/>
      <c r="BQ165" s="99"/>
      <c r="BR165" s="99"/>
      <c r="BS165" s="99"/>
    </row>
    <row r="166" spans="1:71" s="84" customFormat="1" ht="15" customHeight="1" x14ac:dyDescent="0.35">
      <c r="A166" s="92" t="str">
        <f>'Popis del_fasada'!A40</f>
        <v>5</v>
      </c>
      <c r="B166" s="69" t="s">
        <v>147</v>
      </c>
      <c r="C166" s="56">
        <f>1.8+3.91</f>
        <v>5.71</v>
      </c>
      <c r="D166" s="56">
        <v>0.5</v>
      </c>
      <c r="E166" s="56"/>
      <c r="F166" s="53"/>
      <c r="G166" s="53"/>
      <c r="H166" s="90"/>
      <c r="I166" s="90"/>
      <c r="J166" s="72"/>
      <c r="K166" s="74"/>
      <c r="L166" s="74"/>
      <c r="M166" s="90">
        <f>C166*D166</f>
        <v>2.855</v>
      </c>
      <c r="N166" s="74"/>
      <c r="O166" s="74"/>
      <c r="P166" s="74"/>
      <c r="Q166" s="74"/>
      <c r="R166" s="74"/>
      <c r="S166" s="74"/>
      <c r="T166" s="97"/>
      <c r="U166" s="90"/>
      <c r="V166" s="90"/>
      <c r="W166" s="90"/>
      <c r="X166" s="90"/>
      <c r="Y166" s="97"/>
      <c r="Z166" s="90"/>
      <c r="AA166" s="90"/>
      <c r="AB166" s="90"/>
      <c r="AC166" s="56"/>
      <c r="AD166" s="97"/>
      <c r="AE166" s="97"/>
      <c r="AF166" s="97"/>
      <c r="AG166" s="97"/>
      <c r="AI166" s="97"/>
      <c r="AJ166" s="90"/>
      <c r="AK166" s="90"/>
      <c r="AL166" s="90"/>
      <c r="AM166" s="53"/>
      <c r="AN166" s="90"/>
      <c r="AO166" s="74"/>
      <c r="AP166" s="74"/>
      <c r="AQ166" s="74"/>
      <c r="AR166" s="74"/>
      <c r="AS166" s="74"/>
      <c r="AT166" s="53"/>
      <c r="AU166" s="90"/>
      <c r="AV166" s="90"/>
      <c r="AW166" s="90"/>
      <c r="AX166" s="90"/>
      <c r="AY166" s="90"/>
      <c r="AZ166" s="90"/>
      <c r="BA166" s="90"/>
      <c r="BB166" s="90"/>
      <c r="BC166" s="90"/>
      <c r="BD166" s="90"/>
      <c r="BE166" s="90"/>
      <c r="BF166" s="90"/>
      <c r="BG166" s="97"/>
      <c r="BH166" s="99"/>
      <c r="BI166" s="99"/>
      <c r="BJ166" s="99"/>
      <c r="BK166" s="99"/>
      <c r="BM166" s="53"/>
      <c r="BN166" s="97"/>
      <c r="BO166" s="53"/>
      <c r="BQ166" s="99"/>
      <c r="BR166" s="99"/>
      <c r="BS166" s="99"/>
    </row>
    <row r="167" spans="1:71" s="84" customFormat="1" ht="15" customHeight="1" x14ac:dyDescent="0.35">
      <c r="A167" s="92">
        <f>'Popis del_fasada'!A46</f>
        <v>8</v>
      </c>
      <c r="B167" s="69" t="s">
        <v>112</v>
      </c>
      <c r="C167" s="137">
        <v>2.81</v>
      </c>
      <c r="D167" s="90"/>
      <c r="E167" s="90"/>
      <c r="F167" s="53"/>
      <c r="G167" s="53"/>
      <c r="H167" s="90"/>
      <c r="I167" s="90"/>
      <c r="J167" s="74"/>
      <c r="K167" s="74"/>
      <c r="L167" s="90">
        <f>C167</f>
        <v>2.81</v>
      </c>
      <c r="M167" s="90"/>
      <c r="N167" s="90"/>
      <c r="O167" s="90"/>
      <c r="P167" s="90"/>
      <c r="Q167" s="90"/>
      <c r="R167" s="90"/>
      <c r="S167" s="74"/>
      <c r="T167" s="97"/>
      <c r="U167" s="90"/>
      <c r="V167" s="90"/>
      <c r="W167" s="90"/>
      <c r="X167" s="90"/>
      <c r="Y167" s="97"/>
      <c r="Z167" s="90"/>
      <c r="AA167" s="90"/>
      <c r="AB167" s="90"/>
      <c r="AC167" s="97"/>
      <c r="AD167" s="97"/>
      <c r="AE167" s="97"/>
      <c r="AF167" s="97"/>
      <c r="AG167" s="97"/>
      <c r="AI167" s="97"/>
      <c r="AJ167" s="90"/>
      <c r="AK167" s="90"/>
      <c r="AL167" s="90"/>
      <c r="AM167" s="53"/>
      <c r="AN167" s="90"/>
      <c r="AO167" s="74"/>
      <c r="AP167" s="74"/>
      <c r="AQ167" s="74"/>
      <c r="AR167" s="74"/>
      <c r="AS167" s="74"/>
      <c r="AT167" s="53"/>
      <c r="AU167" s="90"/>
      <c r="AV167" s="90"/>
      <c r="AW167" s="90"/>
      <c r="AX167" s="90"/>
      <c r="AY167" s="90"/>
      <c r="AZ167" s="90"/>
      <c r="BA167" s="90"/>
      <c r="BB167" s="90"/>
      <c r="BC167" s="90"/>
      <c r="BD167" s="90"/>
      <c r="BE167" s="90"/>
      <c r="BF167" s="90"/>
      <c r="BG167" s="97"/>
      <c r="BH167" s="99"/>
      <c r="BI167" s="99"/>
      <c r="BJ167" s="99"/>
      <c r="BK167" s="99"/>
      <c r="BM167" s="53"/>
      <c r="BN167" s="97"/>
      <c r="BO167" s="53"/>
      <c r="BQ167" s="99"/>
      <c r="BR167" s="99"/>
      <c r="BS167" s="99"/>
    </row>
    <row r="168" spans="1:71" s="84" customFormat="1" ht="15" customHeight="1" x14ac:dyDescent="0.35">
      <c r="A168" s="92">
        <f>'Popis del_fasada'!A48</f>
        <v>9</v>
      </c>
      <c r="B168" s="69" t="s">
        <v>151</v>
      </c>
      <c r="C168" s="137">
        <f>4</f>
        <v>4</v>
      </c>
      <c r="D168" s="90"/>
      <c r="E168" s="90"/>
      <c r="F168" s="53"/>
      <c r="G168" s="53"/>
      <c r="H168" s="90"/>
      <c r="I168" s="90"/>
      <c r="J168" s="74"/>
      <c r="K168" s="74"/>
      <c r="L168" s="90"/>
      <c r="M168" s="90"/>
      <c r="N168" s="90">
        <f>C168</f>
        <v>4</v>
      </c>
      <c r="O168" s="90"/>
      <c r="P168" s="90"/>
      <c r="Q168" s="90"/>
      <c r="R168" s="90"/>
      <c r="S168" s="74"/>
      <c r="T168" s="97"/>
      <c r="U168" s="90"/>
      <c r="V168" s="90"/>
      <c r="W168" s="90"/>
      <c r="X168" s="90"/>
      <c r="Y168" s="97"/>
      <c r="Z168" s="90"/>
      <c r="AA168" s="90"/>
      <c r="AB168" s="90"/>
      <c r="AC168" s="97"/>
      <c r="AD168" s="97"/>
      <c r="AE168" s="97"/>
      <c r="AF168" s="97"/>
      <c r="AG168" s="97"/>
      <c r="AI168" s="97"/>
      <c r="AJ168" s="90"/>
      <c r="AK168" s="90"/>
      <c r="AL168" s="90"/>
      <c r="AM168" s="53"/>
      <c r="AN168" s="90"/>
      <c r="AO168" s="74"/>
      <c r="AP168" s="74"/>
      <c r="AQ168" s="74"/>
      <c r="AR168" s="74"/>
      <c r="AS168" s="74"/>
      <c r="AT168" s="53"/>
      <c r="AU168" s="90"/>
      <c r="AV168" s="90"/>
      <c r="AW168" s="90"/>
      <c r="AX168" s="90"/>
      <c r="AY168" s="90"/>
      <c r="AZ168" s="90"/>
      <c r="BA168" s="90"/>
      <c r="BB168" s="90"/>
      <c r="BC168" s="90"/>
      <c r="BD168" s="90"/>
      <c r="BE168" s="90"/>
      <c r="BF168" s="90"/>
      <c r="BG168" s="97"/>
      <c r="BH168" s="99"/>
      <c r="BI168" s="99"/>
      <c r="BJ168" s="99"/>
      <c r="BK168" s="99"/>
      <c r="BM168" s="53"/>
      <c r="BN168" s="97"/>
      <c r="BO168" s="53"/>
      <c r="BQ168" s="99"/>
      <c r="BR168" s="99"/>
      <c r="BS168" s="99"/>
    </row>
    <row r="169" spans="1:71" s="84" customFormat="1" ht="15" customHeight="1" x14ac:dyDescent="0.35">
      <c r="A169" s="92">
        <f>'Popis del_fasada'!A52</f>
        <v>11</v>
      </c>
      <c r="B169" s="69" t="s">
        <v>189</v>
      </c>
      <c r="C169" s="72">
        <f>3.24</f>
        <v>3.24</v>
      </c>
      <c r="D169" s="72">
        <f>2*1.8</f>
        <v>3.6</v>
      </c>
      <c r="E169" s="56"/>
      <c r="F169" s="71"/>
      <c r="G169" s="69"/>
      <c r="H169" s="72"/>
      <c r="I169" s="72"/>
      <c r="J169" s="72"/>
      <c r="K169" s="72"/>
      <c r="L169" s="72"/>
      <c r="M169" s="72"/>
      <c r="N169" s="72"/>
      <c r="O169" s="72"/>
      <c r="P169" s="72">
        <f>C169+D169</f>
        <v>6.84</v>
      </c>
      <c r="Q169" s="72"/>
      <c r="R169" s="90"/>
      <c r="S169" s="74"/>
      <c r="T169" s="97"/>
      <c r="U169" s="90"/>
      <c r="V169" s="90"/>
      <c r="W169" s="90"/>
      <c r="X169" s="90"/>
      <c r="Y169" s="97"/>
      <c r="Z169" s="90"/>
      <c r="AA169" s="90"/>
      <c r="AB169" s="90"/>
      <c r="AC169" s="97"/>
      <c r="AD169" s="97"/>
      <c r="AE169" s="97"/>
      <c r="AF169" s="97"/>
      <c r="AG169" s="97"/>
      <c r="AI169" s="97"/>
      <c r="AJ169" s="90"/>
      <c r="AK169" s="90"/>
      <c r="AL169" s="90"/>
      <c r="AM169" s="53"/>
      <c r="AN169" s="90"/>
      <c r="AO169" s="74"/>
      <c r="AP169" s="74"/>
      <c r="AQ169" s="74"/>
      <c r="AR169" s="74"/>
      <c r="AS169" s="74"/>
      <c r="AT169" s="53"/>
      <c r="AU169" s="90"/>
      <c r="AV169" s="90"/>
      <c r="AW169" s="90"/>
      <c r="AX169" s="90"/>
      <c r="AY169" s="90"/>
      <c r="AZ169" s="90"/>
      <c r="BA169" s="90"/>
      <c r="BB169" s="90"/>
      <c r="BC169" s="90"/>
      <c r="BD169" s="90"/>
      <c r="BE169" s="90"/>
      <c r="BF169" s="90"/>
      <c r="BG169" s="97"/>
      <c r="BH169" s="99"/>
      <c r="BI169" s="99"/>
      <c r="BJ169" s="99"/>
      <c r="BK169" s="99"/>
      <c r="BM169" s="53"/>
      <c r="BN169" s="97"/>
      <c r="BO169" s="53"/>
      <c r="BQ169" s="99"/>
      <c r="BR169" s="99"/>
      <c r="BS169" s="99"/>
    </row>
    <row r="170" spans="1:71" s="84" customFormat="1" ht="15" customHeight="1" x14ac:dyDescent="0.35">
      <c r="A170" s="92">
        <f>'Popis del_fasada'!A54</f>
        <v>12</v>
      </c>
      <c r="B170" s="69" t="s">
        <v>191</v>
      </c>
      <c r="C170" s="72">
        <f>2.54+2.84+1.5</f>
        <v>6.88</v>
      </c>
      <c r="D170" s="72">
        <v>1.8</v>
      </c>
      <c r="E170" s="56"/>
      <c r="F170" s="71"/>
      <c r="G170" s="69"/>
      <c r="H170" s="72"/>
      <c r="I170" s="72"/>
      <c r="J170" s="72"/>
      <c r="K170" s="72"/>
      <c r="L170" s="72"/>
      <c r="M170" s="72"/>
      <c r="N170" s="72"/>
      <c r="O170" s="72"/>
      <c r="P170" s="72"/>
      <c r="Q170" s="72">
        <f>C170+D170</f>
        <v>8.68</v>
      </c>
      <c r="R170" s="74"/>
      <c r="S170" s="74"/>
      <c r="T170" s="97"/>
      <c r="U170" s="90"/>
      <c r="V170" s="90"/>
      <c r="W170" s="90"/>
      <c r="X170" s="90"/>
      <c r="Y170" s="97"/>
      <c r="Z170" s="90"/>
      <c r="AA170" s="90"/>
      <c r="AB170" s="90"/>
      <c r="AC170" s="97"/>
      <c r="AD170" s="97"/>
      <c r="AE170" s="97"/>
      <c r="AF170" s="97"/>
      <c r="AG170" s="97"/>
      <c r="AI170" s="97"/>
      <c r="AJ170" s="90"/>
      <c r="AK170" s="90"/>
      <c r="AL170" s="90"/>
      <c r="AM170" s="53"/>
      <c r="AN170" s="90"/>
      <c r="AO170" s="74"/>
      <c r="AP170" s="74"/>
      <c r="AQ170" s="74"/>
      <c r="AR170" s="74"/>
      <c r="AS170" s="74"/>
      <c r="AT170" s="53"/>
      <c r="AU170" s="90"/>
      <c r="AV170" s="90"/>
      <c r="AW170" s="90"/>
      <c r="AX170" s="90"/>
      <c r="AY170" s="90"/>
      <c r="AZ170" s="90"/>
      <c r="BA170" s="90"/>
      <c r="BB170" s="90"/>
      <c r="BC170" s="90"/>
      <c r="BD170" s="90"/>
      <c r="BE170" s="90"/>
      <c r="BF170" s="90"/>
      <c r="BG170" s="97"/>
      <c r="BH170" s="99"/>
      <c r="BI170" s="99"/>
      <c r="BJ170" s="99"/>
      <c r="BK170" s="99"/>
      <c r="BM170" s="53"/>
      <c r="BN170" s="97"/>
      <c r="BO170" s="53"/>
      <c r="BQ170" s="99"/>
      <c r="BR170" s="99"/>
      <c r="BS170" s="99"/>
    </row>
    <row r="171" spans="1:71" s="84" customFormat="1" ht="15" customHeight="1" x14ac:dyDescent="0.35">
      <c r="A171" s="92">
        <f>'Popis del_fasada'!A58</f>
        <v>14</v>
      </c>
      <c r="B171" s="69" t="s">
        <v>157</v>
      </c>
      <c r="C171" s="72">
        <v>3.44</v>
      </c>
      <c r="D171" s="72">
        <v>2.02</v>
      </c>
      <c r="E171" s="56"/>
      <c r="F171" s="71"/>
      <c r="G171" s="69"/>
      <c r="H171" s="72"/>
      <c r="I171" s="72"/>
      <c r="J171" s="72"/>
      <c r="K171" s="72"/>
      <c r="L171" s="72"/>
      <c r="M171" s="72"/>
      <c r="N171" s="72"/>
      <c r="O171" s="72"/>
      <c r="P171" s="72"/>
      <c r="Q171" s="72"/>
      <c r="R171" s="72">
        <f>C171*D171</f>
        <v>6.9488000000000003</v>
      </c>
      <c r="S171" s="74"/>
      <c r="T171" s="97"/>
      <c r="U171" s="90"/>
      <c r="V171" s="90"/>
      <c r="W171" s="90"/>
      <c r="X171" s="90"/>
      <c r="Y171" s="97"/>
      <c r="Z171" s="90"/>
      <c r="AA171" s="90"/>
      <c r="AB171" s="90"/>
      <c r="AC171" s="97"/>
      <c r="AD171" s="97"/>
      <c r="AE171" s="97"/>
      <c r="AF171" s="97"/>
      <c r="AG171" s="97"/>
      <c r="AI171" s="97"/>
      <c r="AJ171" s="90"/>
      <c r="AK171" s="90"/>
      <c r="AL171" s="90"/>
      <c r="AM171" s="53"/>
      <c r="AN171" s="90"/>
      <c r="AO171" s="74"/>
      <c r="AP171" s="74"/>
      <c r="AQ171" s="74"/>
      <c r="AR171" s="74"/>
      <c r="AS171" s="74"/>
      <c r="AT171" s="53"/>
      <c r="AU171" s="90"/>
      <c r="AV171" s="90"/>
      <c r="AW171" s="90"/>
      <c r="AX171" s="90"/>
      <c r="AY171" s="90"/>
      <c r="AZ171" s="90"/>
      <c r="BA171" s="90"/>
      <c r="BB171" s="90"/>
      <c r="BC171" s="90"/>
      <c r="BD171" s="90"/>
      <c r="BE171" s="90"/>
      <c r="BF171" s="90"/>
      <c r="BG171" s="97"/>
      <c r="BH171" s="99"/>
      <c r="BI171" s="99"/>
      <c r="BJ171" s="99"/>
      <c r="BK171" s="99"/>
      <c r="BM171" s="53"/>
      <c r="BN171" s="97"/>
      <c r="BO171" s="53"/>
      <c r="BQ171" s="99"/>
      <c r="BR171" s="99"/>
      <c r="BS171" s="99"/>
    </row>
    <row r="172" spans="1:71" s="84" customFormat="1" ht="15" customHeight="1" x14ac:dyDescent="0.35">
      <c r="A172" s="92"/>
      <c r="B172" s="69"/>
      <c r="C172" s="90"/>
      <c r="D172" s="90"/>
      <c r="E172" s="90"/>
      <c r="F172" s="53"/>
      <c r="G172" s="53"/>
      <c r="H172" s="90"/>
      <c r="I172" s="90"/>
      <c r="J172" s="74"/>
      <c r="K172" s="74"/>
      <c r="L172" s="74"/>
      <c r="M172" s="90"/>
      <c r="N172" s="74"/>
      <c r="O172" s="74"/>
      <c r="P172" s="74"/>
      <c r="Q172" s="74"/>
      <c r="R172" s="74"/>
      <c r="S172" s="74"/>
      <c r="T172" s="97"/>
      <c r="U172" s="90"/>
      <c r="V172" s="90"/>
      <c r="W172" s="90"/>
      <c r="X172" s="90"/>
      <c r="Y172" s="97"/>
      <c r="Z172" s="90"/>
      <c r="AA172" s="90"/>
      <c r="AB172" s="90"/>
      <c r="AC172" s="97"/>
      <c r="AD172" s="97"/>
      <c r="AE172" s="97"/>
      <c r="AF172" s="97"/>
      <c r="AG172" s="97"/>
      <c r="AI172" s="97"/>
      <c r="AJ172" s="90"/>
      <c r="AK172" s="90"/>
      <c r="AL172" s="90"/>
      <c r="AM172" s="53"/>
      <c r="AN172" s="90"/>
      <c r="AO172" s="74"/>
      <c r="AP172" s="74"/>
      <c r="AQ172" s="74"/>
      <c r="AR172" s="74"/>
      <c r="AS172" s="74"/>
      <c r="AT172" s="53"/>
      <c r="AU172" s="90"/>
      <c r="AV172" s="90"/>
      <c r="AW172" s="90"/>
      <c r="AX172" s="90"/>
      <c r="AY172" s="90"/>
      <c r="AZ172" s="90"/>
      <c r="BA172" s="90"/>
      <c r="BB172" s="90"/>
      <c r="BC172" s="90"/>
      <c r="BD172" s="90"/>
      <c r="BE172" s="90"/>
      <c r="BF172" s="90"/>
      <c r="BG172" s="97"/>
      <c r="BH172" s="99"/>
      <c r="BI172" s="99"/>
      <c r="BJ172" s="99"/>
      <c r="BK172" s="99"/>
      <c r="BM172" s="53"/>
      <c r="BN172" s="97"/>
      <c r="BO172" s="53"/>
      <c r="BQ172" s="99"/>
      <c r="BR172" s="99"/>
      <c r="BS172" s="99"/>
    </row>
    <row r="173" spans="1:71" s="84" customFormat="1" ht="15" customHeight="1" x14ac:dyDescent="0.35">
      <c r="A173" s="92"/>
      <c r="B173" s="69" t="str">
        <f>'Popis del_fasada'!B66</f>
        <v>ZEMELJSKA DELA</v>
      </c>
      <c r="C173" s="90"/>
      <c r="D173" s="90"/>
      <c r="E173" s="90"/>
      <c r="F173" s="53"/>
      <c r="G173" s="53"/>
      <c r="H173" s="90"/>
      <c r="I173" s="90"/>
      <c r="J173" s="74"/>
      <c r="K173" s="74"/>
      <c r="L173" s="74"/>
      <c r="M173" s="90"/>
      <c r="N173" s="74"/>
      <c r="O173" s="74"/>
      <c r="P173" s="74"/>
      <c r="Q173" s="74"/>
      <c r="R173" s="74"/>
      <c r="S173" s="74"/>
      <c r="T173" s="97"/>
      <c r="U173" s="90"/>
      <c r="V173" s="90"/>
      <c r="W173" s="90"/>
      <c r="X173" s="90"/>
      <c r="Y173" s="97"/>
      <c r="Z173" s="90"/>
      <c r="AA173" s="90"/>
      <c r="AB173" s="90"/>
      <c r="AC173" s="97"/>
      <c r="AD173" s="97"/>
      <c r="AE173" s="97"/>
      <c r="AF173" s="97"/>
      <c r="AG173" s="97"/>
      <c r="AI173" s="97"/>
      <c r="AJ173" s="90"/>
      <c r="AK173" s="90"/>
      <c r="AL173" s="90"/>
      <c r="AM173" s="53"/>
      <c r="AN173" s="90"/>
      <c r="AO173" s="74"/>
      <c r="AP173" s="74"/>
      <c r="AQ173" s="74"/>
      <c r="AR173" s="74"/>
      <c r="AS173" s="74"/>
      <c r="AT173" s="53"/>
      <c r="AU173" s="90"/>
      <c r="AV173" s="90"/>
      <c r="AW173" s="90"/>
      <c r="AX173" s="90"/>
      <c r="AY173" s="90"/>
      <c r="AZ173" s="90"/>
      <c r="BA173" s="90"/>
      <c r="BB173" s="90"/>
      <c r="BC173" s="90"/>
      <c r="BD173" s="90"/>
      <c r="BE173" s="90"/>
      <c r="BF173" s="90"/>
      <c r="BG173" s="97"/>
      <c r="BH173" s="99"/>
      <c r="BI173" s="99"/>
      <c r="BJ173" s="99"/>
      <c r="BK173" s="99"/>
      <c r="BM173" s="53"/>
      <c r="BN173" s="97"/>
      <c r="BO173" s="53"/>
      <c r="BQ173" s="99"/>
      <c r="BR173" s="99"/>
      <c r="BS173" s="99"/>
    </row>
    <row r="174" spans="1:71" s="84" customFormat="1" ht="15" customHeight="1" x14ac:dyDescent="0.35">
      <c r="A174" s="92" t="str">
        <f>'Popis del_fasada'!A70</f>
        <v>2</v>
      </c>
      <c r="B174" s="69" t="s">
        <v>76</v>
      </c>
      <c r="C174" s="56">
        <f>3.91+0.9</f>
        <v>4.8100000000000005</v>
      </c>
      <c r="D174" s="89">
        <v>0.5</v>
      </c>
      <c r="E174" s="56">
        <v>0.5</v>
      </c>
      <c r="F174" s="53"/>
      <c r="G174" s="53"/>
      <c r="H174" s="90"/>
      <c r="I174" s="90"/>
      <c r="J174" s="74"/>
      <c r="K174" s="74"/>
      <c r="L174" s="74"/>
      <c r="M174" s="90"/>
      <c r="N174" s="74"/>
      <c r="O174" s="74"/>
      <c r="P174" s="74"/>
      <c r="Q174" s="74"/>
      <c r="R174" s="74"/>
      <c r="S174" s="74"/>
      <c r="T174" s="97"/>
      <c r="U174" s="72">
        <f>C174*D174*E174</f>
        <v>1.2025000000000001</v>
      </c>
      <c r="V174" s="90"/>
      <c r="W174" s="90"/>
      <c r="X174" s="90"/>
      <c r="Y174" s="97"/>
      <c r="Z174" s="90"/>
      <c r="AA174" s="90"/>
      <c r="AB174" s="90"/>
      <c r="AC174" s="97"/>
      <c r="AD174" s="97"/>
      <c r="AE174" s="97"/>
      <c r="AF174" s="97"/>
      <c r="AG174" s="97"/>
      <c r="AI174" s="97"/>
      <c r="AJ174" s="90"/>
      <c r="AK174" s="90"/>
      <c r="AL174" s="90"/>
      <c r="AM174" s="53"/>
      <c r="AN174" s="90"/>
      <c r="AO174" s="74"/>
      <c r="AP174" s="74"/>
      <c r="AQ174" s="74"/>
      <c r="AR174" s="74"/>
      <c r="AS174" s="74"/>
      <c r="AT174" s="53"/>
      <c r="AU174" s="90"/>
      <c r="AV174" s="90"/>
      <c r="AW174" s="90"/>
      <c r="AX174" s="90"/>
      <c r="AY174" s="90"/>
      <c r="AZ174" s="90"/>
      <c r="BA174" s="90"/>
      <c r="BB174" s="90"/>
      <c r="BC174" s="90"/>
      <c r="BD174" s="90"/>
      <c r="BE174" s="90"/>
      <c r="BF174" s="90"/>
      <c r="BG174" s="97"/>
      <c r="BH174" s="99"/>
      <c r="BI174" s="99"/>
      <c r="BJ174" s="99"/>
      <c r="BK174" s="99"/>
      <c r="BM174" s="53"/>
      <c r="BN174" s="97"/>
      <c r="BO174" s="53"/>
      <c r="BQ174" s="99"/>
      <c r="BR174" s="99"/>
      <c r="BS174" s="99"/>
    </row>
    <row r="175" spans="1:71" s="84" customFormat="1" ht="15" customHeight="1" x14ac:dyDescent="0.35">
      <c r="A175" s="92" t="str">
        <f>'Popis del_fasada'!A76</f>
        <v>5</v>
      </c>
      <c r="B175" s="69" t="s">
        <v>116</v>
      </c>
      <c r="C175" s="56">
        <f>C174</f>
        <v>4.8100000000000005</v>
      </c>
      <c r="D175" s="89">
        <v>0.4</v>
      </c>
      <c r="E175" s="56">
        <v>0.5</v>
      </c>
      <c r="F175" s="53"/>
      <c r="G175" s="53"/>
      <c r="H175" s="90"/>
      <c r="I175" s="90"/>
      <c r="J175" s="74"/>
      <c r="K175" s="74"/>
      <c r="L175" s="74"/>
      <c r="M175" s="90"/>
      <c r="N175" s="74"/>
      <c r="O175" s="74"/>
      <c r="P175" s="74"/>
      <c r="Q175" s="74"/>
      <c r="R175" s="74"/>
      <c r="S175" s="74"/>
      <c r="T175" s="97"/>
      <c r="U175" s="90"/>
      <c r="V175" s="90"/>
      <c r="W175" s="90"/>
      <c r="X175" s="90">
        <f>C175*D175*E175</f>
        <v>0.96200000000000019</v>
      </c>
      <c r="Y175" s="97"/>
      <c r="Z175" s="90"/>
      <c r="AA175" s="90"/>
      <c r="AB175" s="90"/>
      <c r="AC175" s="97"/>
      <c r="AD175" s="97"/>
      <c r="AE175" s="97"/>
      <c r="AF175" s="97"/>
      <c r="AG175" s="97"/>
      <c r="AI175" s="97"/>
      <c r="AJ175" s="90"/>
      <c r="AK175" s="90"/>
      <c r="AL175" s="90"/>
      <c r="AM175" s="53"/>
      <c r="AN175" s="90"/>
      <c r="AO175" s="74"/>
      <c r="AP175" s="74"/>
      <c r="AQ175" s="74"/>
      <c r="AR175" s="74"/>
      <c r="AS175" s="74"/>
      <c r="AT175" s="53"/>
      <c r="AU175" s="90"/>
      <c r="AV175" s="90"/>
      <c r="AW175" s="90"/>
      <c r="AX175" s="90"/>
      <c r="AY175" s="90"/>
      <c r="AZ175" s="90"/>
      <c r="BA175" s="90"/>
      <c r="BB175" s="90"/>
      <c r="BC175" s="90"/>
      <c r="BD175" s="90"/>
      <c r="BE175" s="90"/>
      <c r="BF175" s="90"/>
      <c r="BG175" s="97"/>
      <c r="BH175" s="99"/>
      <c r="BI175" s="99"/>
      <c r="BJ175" s="99"/>
      <c r="BK175" s="99"/>
      <c r="BM175" s="53"/>
      <c r="BN175" s="97"/>
      <c r="BO175" s="53"/>
      <c r="BQ175" s="99"/>
      <c r="BR175" s="99"/>
      <c r="BS175" s="99"/>
    </row>
    <row r="176" spans="1:71" s="84" customFormat="1" ht="15" customHeight="1" x14ac:dyDescent="0.35">
      <c r="A176" s="92"/>
      <c r="B176" s="69"/>
      <c r="C176" s="90"/>
      <c r="D176" s="90"/>
      <c r="E176" s="90"/>
      <c r="F176" s="53"/>
      <c r="G176" s="53"/>
      <c r="H176" s="90"/>
      <c r="I176" s="90"/>
      <c r="J176" s="74"/>
      <c r="K176" s="74"/>
      <c r="L176" s="74"/>
      <c r="M176" s="90"/>
      <c r="N176" s="74"/>
      <c r="O176" s="74"/>
      <c r="P176" s="74"/>
      <c r="Q176" s="74"/>
      <c r="R176" s="74"/>
      <c r="S176" s="74"/>
      <c r="T176" s="97"/>
      <c r="U176" s="90"/>
      <c r="V176" s="90"/>
      <c r="W176" s="90"/>
      <c r="X176" s="90"/>
      <c r="Y176" s="97"/>
      <c r="Z176" s="90"/>
      <c r="AA176" s="90"/>
      <c r="AB176" s="90"/>
      <c r="AC176" s="97"/>
      <c r="AD176" s="97"/>
      <c r="AE176" s="97"/>
      <c r="AF176" s="97"/>
      <c r="AG176" s="97"/>
      <c r="AI176" s="97"/>
      <c r="AJ176" s="90"/>
      <c r="AK176" s="90"/>
      <c r="AL176" s="90"/>
      <c r="AM176" s="53"/>
      <c r="AN176" s="90"/>
      <c r="AO176" s="74"/>
      <c r="AP176" s="74"/>
      <c r="AQ176" s="74"/>
      <c r="AR176" s="74"/>
      <c r="AS176" s="74"/>
      <c r="AT176" s="53"/>
      <c r="AU176" s="90"/>
      <c r="AV176" s="90"/>
      <c r="AW176" s="90"/>
      <c r="AX176" s="90"/>
      <c r="AY176" s="90"/>
      <c r="AZ176" s="90"/>
      <c r="BA176" s="90"/>
      <c r="BB176" s="90"/>
      <c r="BC176" s="90"/>
      <c r="BD176" s="90"/>
      <c r="BE176" s="90"/>
      <c r="BF176" s="90"/>
      <c r="BG176" s="97"/>
      <c r="BH176" s="99"/>
      <c r="BI176" s="99"/>
      <c r="BJ176" s="99"/>
      <c r="BK176" s="99"/>
      <c r="BM176" s="53"/>
      <c r="BN176" s="97"/>
      <c r="BO176" s="53"/>
      <c r="BQ176" s="99"/>
      <c r="BR176" s="99"/>
      <c r="BS176" s="99"/>
    </row>
    <row r="177" spans="1:71" s="84" customFormat="1" ht="15" customHeight="1" x14ac:dyDescent="0.35">
      <c r="A177" s="92"/>
      <c r="B177" s="69" t="str">
        <f>'Popis del_fasada'!B85</f>
        <v>ZIDARSKA DELA</v>
      </c>
      <c r="C177" s="90"/>
      <c r="D177" s="90"/>
      <c r="E177" s="90"/>
      <c r="F177" s="53"/>
      <c r="G177" s="53"/>
      <c r="H177" s="90"/>
      <c r="I177" s="90"/>
      <c r="J177" s="74"/>
      <c r="K177" s="74"/>
      <c r="L177" s="74"/>
      <c r="M177" s="90"/>
      <c r="N177" s="74"/>
      <c r="O177" s="74"/>
      <c r="P177" s="74"/>
      <c r="Q177" s="74"/>
      <c r="R177" s="74"/>
      <c r="S177" s="74"/>
      <c r="T177" s="97"/>
      <c r="U177" s="90"/>
      <c r="V177" s="90"/>
      <c r="W177" s="90"/>
      <c r="X177" s="90"/>
      <c r="Y177" s="97"/>
      <c r="Z177" s="90"/>
      <c r="AA177" s="90"/>
      <c r="AB177" s="90"/>
      <c r="AC177" s="97"/>
      <c r="AD177" s="97"/>
      <c r="AE177" s="97"/>
      <c r="AF177" s="97"/>
      <c r="AG177" s="97"/>
      <c r="AI177" s="97"/>
      <c r="AJ177" s="90"/>
      <c r="AK177" s="90"/>
      <c r="AL177" s="90"/>
      <c r="AM177" s="53"/>
      <c r="AN177" s="90"/>
      <c r="AO177" s="74"/>
      <c r="AP177" s="74"/>
      <c r="AQ177" s="74"/>
      <c r="AR177" s="74"/>
      <c r="AS177" s="74"/>
      <c r="AT177" s="53"/>
      <c r="AU177" s="90"/>
      <c r="AV177" s="90"/>
      <c r="AW177" s="90"/>
      <c r="AX177" s="90"/>
      <c r="AY177" s="90"/>
      <c r="AZ177" s="90"/>
      <c r="BA177" s="90"/>
      <c r="BB177" s="90"/>
      <c r="BC177" s="90"/>
      <c r="BD177" s="90"/>
      <c r="BE177" s="90"/>
      <c r="BF177" s="90"/>
      <c r="BG177" s="97"/>
      <c r="BH177" s="99"/>
      <c r="BI177" s="99"/>
      <c r="BJ177" s="99"/>
      <c r="BK177" s="99"/>
      <c r="BM177" s="53"/>
      <c r="BN177" s="97"/>
      <c r="BO177" s="53"/>
      <c r="BQ177" s="99"/>
      <c r="BR177" s="99"/>
      <c r="BS177" s="99"/>
    </row>
    <row r="178" spans="1:71" s="84" customFormat="1" ht="15" customHeight="1" x14ac:dyDescent="0.35">
      <c r="A178" s="92">
        <f>'Popis del_fasada'!A87</f>
        <v>1</v>
      </c>
      <c r="B178" s="69" t="s">
        <v>160</v>
      </c>
      <c r="C178" s="56">
        <v>3.24</v>
      </c>
      <c r="D178" s="56">
        <f>1.75</f>
        <v>1.75</v>
      </c>
      <c r="E178" s="159">
        <v>0.1</v>
      </c>
      <c r="F178" s="56"/>
      <c r="G178" s="56"/>
      <c r="H178" s="72"/>
      <c r="I178" s="72"/>
      <c r="J178" s="72"/>
      <c r="K178" s="72"/>
      <c r="L178" s="72"/>
      <c r="M178" s="72"/>
      <c r="N178" s="72"/>
      <c r="O178" s="72"/>
      <c r="P178" s="72"/>
      <c r="Q178" s="72"/>
      <c r="R178" s="72"/>
      <c r="S178" s="72"/>
      <c r="T178" s="56"/>
      <c r="U178" s="72"/>
      <c r="V178" s="72"/>
      <c r="W178" s="72"/>
      <c r="X178" s="72"/>
      <c r="Y178" s="56"/>
      <c r="Z178" s="72"/>
      <c r="AA178" s="72"/>
      <c r="AB178" s="72"/>
      <c r="AC178" s="56"/>
      <c r="AD178" s="56"/>
      <c r="AE178" s="56">
        <f>C178*D178*E178</f>
        <v>0.56700000000000006</v>
      </c>
      <c r="AF178" s="97"/>
      <c r="AG178" s="97"/>
      <c r="AI178" s="97"/>
      <c r="AJ178" s="90"/>
      <c r="AK178" s="90"/>
      <c r="AL178" s="90"/>
      <c r="AM178" s="53"/>
      <c r="AN178" s="90"/>
      <c r="AO178" s="74"/>
      <c r="AP178" s="74"/>
      <c r="AQ178" s="74"/>
      <c r="AR178" s="74"/>
      <c r="AS178" s="74"/>
      <c r="AT178" s="53"/>
      <c r="AU178" s="90"/>
      <c r="AV178" s="90"/>
      <c r="AW178" s="90"/>
      <c r="AX178" s="90"/>
      <c r="AY178" s="90"/>
      <c r="AZ178" s="90"/>
      <c r="BA178" s="90"/>
      <c r="BB178" s="90"/>
      <c r="BC178" s="90"/>
      <c r="BD178" s="90"/>
      <c r="BE178" s="90"/>
      <c r="BF178" s="90"/>
      <c r="BG178" s="97"/>
      <c r="BH178" s="99"/>
      <c r="BI178" s="99"/>
      <c r="BJ178" s="99"/>
      <c r="BK178" s="99"/>
      <c r="BM178" s="53"/>
      <c r="BN178" s="97"/>
      <c r="BO178" s="53"/>
      <c r="BQ178" s="99"/>
      <c r="BR178" s="99"/>
      <c r="BS178" s="99"/>
    </row>
    <row r="179" spans="1:71" s="84" customFormat="1" ht="15" customHeight="1" x14ac:dyDescent="0.35">
      <c r="A179" s="92"/>
      <c r="B179" s="69"/>
      <c r="C179" s="56">
        <f>2.42+1.98</f>
        <v>4.4000000000000004</v>
      </c>
      <c r="D179" s="56">
        <f>1.45</f>
        <v>1.45</v>
      </c>
      <c r="E179" s="159">
        <v>0.1</v>
      </c>
      <c r="F179" s="56"/>
      <c r="G179" s="56"/>
      <c r="H179" s="72"/>
      <c r="I179" s="72"/>
      <c r="J179" s="72"/>
      <c r="K179" s="72"/>
      <c r="L179" s="72"/>
      <c r="M179" s="72"/>
      <c r="N179" s="72"/>
      <c r="O179" s="72"/>
      <c r="P179" s="72"/>
      <c r="Q179" s="72"/>
      <c r="R179" s="72"/>
      <c r="S179" s="72"/>
      <c r="T179" s="56"/>
      <c r="U179" s="72"/>
      <c r="V179" s="72"/>
      <c r="W179" s="72"/>
      <c r="X179" s="72"/>
      <c r="Y179" s="56"/>
      <c r="Z179" s="72"/>
      <c r="AA179" s="72"/>
      <c r="AB179" s="72"/>
      <c r="AC179" s="56"/>
      <c r="AD179" s="56"/>
      <c r="AE179" s="56">
        <f>C179*D179*E179</f>
        <v>0.63800000000000001</v>
      </c>
      <c r="AF179" s="97"/>
      <c r="AG179" s="97"/>
      <c r="AI179" s="97"/>
      <c r="AJ179" s="90"/>
      <c r="AK179" s="90"/>
      <c r="AL179" s="90"/>
      <c r="AM179" s="53"/>
      <c r="AN179" s="90"/>
      <c r="AO179" s="74"/>
      <c r="AP179" s="74"/>
      <c r="AQ179" s="74"/>
      <c r="AR179" s="74"/>
      <c r="AS179" s="74"/>
      <c r="AT179" s="53"/>
      <c r="AU179" s="90"/>
      <c r="AV179" s="90"/>
      <c r="AW179" s="90"/>
      <c r="AX179" s="90"/>
      <c r="AY179" s="90"/>
      <c r="AZ179" s="90"/>
      <c r="BA179" s="90"/>
      <c r="BB179" s="90"/>
      <c r="BC179" s="90"/>
      <c r="BD179" s="90"/>
      <c r="BE179" s="90"/>
      <c r="BF179" s="90"/>
      <c r="BG179" s="97"/>
      <c r="BH179" s="99"/>
      <c r="BI179" s="99"/>
      <c r="BJ179" s="99"/>
      <c r="BK179" s="99"/>
      <c r="BM179" s="53"/>
      <c r="BN179" s="97"/>
      <c r="BO179" s="53"/>
      <c r="BQ179" s="99"/>
      <c r="BR179" s="99"/>
      <c r="BS179" s="99"/>
    </row>
    <row r="180" spans="1:71" s="84" customFormat="1" ht="15" customHeight="1" x14ac:dyDescent="0.35">
      <c r="A180" s="92">
        <f>'Popis del_fasada'!A89</f>
        <v>2</v>
      </c>
      <c r="B180" s="70" t="s">
        <v>57</v>
      </c>
      <c r="C180" s="56"/>
      <c r="E180" s="56"/>
      <c r="F180" s="56"/>
      <c r="G180" s="56"/>
      <c r="H180" s="72"/>
      <c r="I180" s="72"/>
      <c r="J180" s="72"/>
      <c r="K180" s="72"/>
      <c r="L180" s="72"/>
      <c r="M180" s="72"/>
      <c r="N180" s="72"/>
      <c r="O180" s="72"/>
      <c r="P180" s="72"/>
      <c r="Q180" s="72"/>
      <c r="R180" s="72"/>
      <c r="S180" s="72"/>
      <c r="T180" s="56"/>
      <c r="U180" s="72"/>
      <c r="V180" s="72"/>
      <c r="W180" s="72"/>
      <c r="X180" s="72"/>
      <c r="Y180" s="56"/>
      <c r="Z180" s="72"/>
      <c r="AA180" s="72"/>
      <c r="AB180" s="72"/>
      <c r="AC180" s="97"/>
      <c r="AD180" s="97"/>
      <c r="AE180" s="97"/>
      <c r="AF180" s="97"/>
      <c r="AG180" s="97"/>
      <c r="AI180" s="97"/>
      <c r="AJ180" s="90"/>
      <c r="AK180" s="90"/>
      <c r="AL180" s="90"/>
      <c r="AM180" s="53"/>
      <c r="AN180" s="90"/>
      <c r="AO180" s="74"/>
      <c r="AP180" s="74"/>
      <c r="AQ180" s="74"/>
      <c r="AR180" s="74"/>
      <c r="AS180" s="74"/>
      <c r="AT180" s="53"/>
      <c r="AU180" s="90"/>
      <c r="AV180" s="90"/>
      <c r="AW180" s="90"/>
      <c r="AX180" s="90"/>
      <c r="AY180" s="90"/>
      <c r="AZ180" s="90"/>
      <c r="BA180" s="90"/>
      <c r="BB180" s="90"/>
      <c r="BC180" s="90"/>
      <c r="BD180" s="90"/>
      <c r="BE180" s="90"/>
      <c r="BF180" s="90"/>
      <c r="BG180" s="97"/>
      <c r="BH180" s="99"/>
      <c r="BI180" s="99"/>
      <c r="BJ180" s="99"/>
      <c r="BK180" s="99"/>
      <c r="BM180" s="53"/>
      <c r="BN180" s="97"/>
      <c r="BO180" s="53"/>
      <c r="BQ180" s="99"/>
      <c r="BR180" s="99"/>
      <c r="BS180" s="99"/>
    </row>
    <row r="181" spans="1:71" s="84" customFormat="1" ht="15" customHeight="1" x14ac:dyDescent="0.35">
      <c r="A181" s="92"/>
      <c r="B181" s="69"/>
      <c r="C181" s="56">
        <v>10.57</v>
      </c>
      <c r="D181" s="56">
        <v>8.48</v>
      </c>
      <c r="E181" s="56"/>
      <c r="F181" s="56"/>
      <c r="G181" s="56"/>
      <c r="H181" s="72"/>
      <c r="I181" s="72"/>
      <c r="J181" s="72"/>
      <c r="K181" s="72"/>
      <c r="L181" s="72"/>
      <c r="M181" s="72"/>
      <c r="N181" s="72"/>
      <c r="O181" s="72"/>
      <c r="P181" s="72"/>
      <c r="Q181" s="72"/>
      <c r="R181" s="72"/>
      <c r="S181" s="72"/>
      <c r="T181" s="56"/>
      <c r="U181" s="72"/>
      <c r="V181" s="72"/>
      <c r="W181" s="72"/>
      <c r="X181" s="72"/>
      <c r="Y181" s="56"/>
      <c r="Z181" s="72">
        <f>C181*D181</f>
        <v>89.633600000000001</v>
      </c>
      <c r="AA181" s="72"/>
      <c r="AB181" s="72"/>
      <c r="AC181" s="97"/>
      <c r="AD181" s="97"/>
      <c r="AE181" s="97"/>
      <c r="AF181" s="97"/>
      <c r="AG181" s="97"/>
      <c r="AI181" s="97"/>
      <c r="AJ181" s="90"/>
      <c r="AK181" s="90"/>
      <c r="AL181" s="90"/>
      <c r="AM181" s="53"/>
      <c r="AN181" s="90"/>
      <c r="AO181" s="74"/>
      <c r="AP181" s="74"/>
      <c r="AQ181" s="74"/>
      <c r="AR181" s="74"/>
      <c r="AS181" s="74"/>
      <c r="AT181" s="53"/>
      <c r="AU181" s="90"/>
      <c r="AV181" s="90"/>
      <c r="AW181" s="90"/>
      <c r="AX181" s="90"/>
      <c r="AY181" s="90"/>
      <c r="AZ181" s="90"/>
      <c r="BA181" s="90"/>
      <c r="BB181" s="90"/>
      <c r="BC181" s="90"/>
      <c r="BD181" s="90"/>
      <c r="BE181" s="90"/>
      <c r="BF181" s="90"/>
      <c r="BG181" s="97"/>
      <c r="BH181" s="99"/>
      <c r="BI181" s="99"/>
      <c r="BJ181" s="99"/>
      <c r="BK181" s="99"/>
      <c r="BM181" s="53"/>
      <c r="BN181" s="97"/>
      <c r="BO181" s="53"/>
      <c r="BQ181" s="99"/>
      <c r="BR181" s="99"/>
      <c r="BS181" s="99"/>
    </row>
    <row r="182" spans="1:71" s="84" customFormat="1" ht="15" customHeight="1" x14ac:dyDescent="0.35">
      <c r="A182" s="92">
        <f>'Popis del_fasada'!A91</f>
        <v>3</v>
      </c>
      <c r="B182" s="69" t="s">
        <v>104</v>
      </c>
      <c r="C182" s="56">
        <v>3.91</v>
      </c>
      <c r="D182" s="56">
        <v>0.6</v>
      </c>
      <c r="E182" s="56"/>
      <c r="F182" s="56"/>
      <c r="G182" s="56"/>
      <c r="H182" s="72"/>
      <c r="I182" s="72"/>
      <c r="J182" s="72"/>
      <c r="K182" s="72"/>
      <c r="L182" s="72"/>
      <c r="M182" s="72"/>
      <c r="N182" s="72"/>
      <c r="O182" s="72"/>
      <c r="P182" s="72"/>
      <c r="Q182" s="72"/>
      <c r="R182" s="72"/>
      <c r="S182" s="72"/>
      <c r="T182" s="56"/>
      <c r="U182" s="72"/>
      <c r="V182" s="72"/>
      <c r="W182" s="72"/>
      <c r="X182" s="72"/>
      <c r="Y182" s="56"/>
      <c r="Z182" s="72"/>
      <c r="AA182" s="72">
        <f>C182*D182</f>
        <v>2.3460000000000001</v>
      </c>
      <c r="AB182" s="72"/>
      <c r="AC182" s="97"/>
      <c r="AD182" s="97"/>
      <c r="AE182" s="97"/>
      <c r="AF182" s="97"/>
      <c r="AG182" s="97"/>
      <c r="AI182" s="97"/>
      <c r="AJ182" s="90"/>
      <c r="AK182" s="90"/>
      <c r="AL182" s="90"/>
      <c r="AM182" s="53"/>
      <c r="AN182" s="90"/>
      <c r="AO182" s="74"/>
      <c r="AP182" s="74"/>
      <c r="AQ182" s="74"/>
      <c r="AR182" s="74"/>
      <c r="AS182" s="74"/>
      <c r="AT182" s="53"/>
      <c r="AU182" s="90"/>
      <c r="AV182" s="90"/>
      <c r="AW182" s="90"/>
      <c r="AX182" s="90"/>
      <c r="AY182" s="90"/>
      <c r="AZ182" s="90"/>
      <c r="BA182" s="90"/>
      <c r="BB182" s="90"/>
      <c r="BC182" s="90"/>
      <c r="BD182" s="90"/>
      <c r="BE182" s="90"/>
      <c r="BF182" s="90"/>
      <c r="BG182" s="97"/>
      <c r="BH182" s="99"/>
      <c r="BI182" s="99"/>
      <c r="BJ182" s="99"/>
      <c r="BK182" s="99"/>
      <c r="BM182" s="53"/>
      <c r="BN182" s="97"/>
      <c r="BO182" s="53"/>
      <c r="BQ182" s="99"/>
      <c r="BR182" s="99"/>
      <c r="BS182" s="99"/>
    </row>
    <row r="183" spans="1:71" s="84" customFormat="1" ht="15" customHeight="1" x14ac:dyDescent="0.35">
      <c r="A183" s="92">
        <f>'Popis del_fasada'!A93</f>
        <v>4</v>
      </c>
      <c r="B183" s="69" t="s">
        <v>195</v>
      </c>
      <c r="C183" s="56">
        <v>3.24</v>
      </c>
      <c r="D183" s="56">
        <f>1.75+0.3</f>
        <v>2.0499999999999998</v>
      </c>
      <c r="E183" s="56"/>
      <c r="F183" s="56"/>
      <c r="G183" s="56"/>
      <c r="H183" s="72"/>
      <c r="I183" s="72"/>
      <c r="J183" s="72"/>
      <c r="K183" s="72"/>
      <c r="L183" s="72"/>
      <c r="M183" s="72"/>
      <c r="N183" s="72"/>
      <c r="O183" s="72"/>
      <c r="P183" s="72"/>
      <c r="Q183" s="72"/>
      <c r="R183" s="72"/>
      <c r="S183" s="72"/>
      <c r="T183" s="56"/>
      <c r="U183" s="72"/>
      <c r="V183" s="72"/>
      <c r="W183" s="72"/>
      <c r="X183" s="72"/>
      <c r="Y183" s="56"/>
      <c r="Z183" s="72"/>
      <c r="AA183" s="72"/>
      <c r="AB183" s="72">
        <f>C183*D183</f>
        <v>6.6419999999999995</v>
      </c>
      <c r="AC183" s="97"/>
      <c r="AD183" s="97"/>
      <c r="AE183" s="97"/>
      <c r="AF183" s="97"/>
      <c r="AG183" s="97"/>
      <c r="AI183" s="97"/>
      <c r="AJ183" s="90"/>
      <c r="AK183" s="90"/>
      <c r="AL183" s="90"/>
      <c r="AM183" s="53"/>
      <c r="AN183" s="90"/>
      <c r="AO183" s="74"/>
      <c r="AP183" s="74"/>
      <c r="AQ183" s="74"/>
      <c r="AR183" s="74"/>
      <c r="AS183" s="74"/>
      <c r="AT183" s="53"/>
      <c r="AU183" s="90"/>
      <c r="AV183" s="90"/>
      <c r="AW183" s="90"/>
      <c r="AX183" s="90"/>
      <c r="AY183" s="90"/>
      <c r="AZ183" s="90"/>
      <c r="BA183" s="90"/>
      <c r="BB183" s="90"/>
      <c r="BC183" s="90"/>
      <c r="BD183" s="90"/>
      <c r="BE183" s="90"/>
      <c r="BF183" s="90"/>
      <c r="BG183" s="97"/>
      <c r="BH183" s="99"/>
      <c r="BI183" s="99"/>
      <c r="BJ183" s="99"/>
      <c r="BK183" s="99"/>
      <c r="BM183" s="53"/>
      <c r="BN183" s="97"/>
      <c r="BO183" s="53"/>
      <c r="BQ183" s="99"/>
      <c r="BR183" s="99"/>
      <c r="BS183" s="99"/>
    </row>
    <row r="184" spans="1:71" s="84" customFormat="1" ht="15" customHeight="1" x14ac:dyDescent="0.35">
      <c r="A184" s="92"/>
      <c r="B184" s="69" t="s">
        <v>156</v>
      </c>
      <c r="C184" s="56">
        <f>2.42+1.98</f>
        <v>4.4000000000000004</v>
      </c>
      <c r="D184" s="56">
        <f>1.45+0.3</f>
        <v>1.75</v>
      </c>
      <c r="E184" s="56"/>
      <c r="F184" s="56"/>
      <c r="G184" s="56"/>
      <c r="H184" s="72"/>
      <c r="I184" s="72"/>
      <c r="J184" s="72"/>
      <c r="K184" s="72"/>
      <c r="L184" s="72"/>
      <c r="M184" s="72"/>
      <c r="N184" s="72"/>
      <c r="O184" s="72"/>
      <c r="P184" s="72"/>
      <c r="Q184" s="72"/>
      <c r="R184" s="72"/>
      <c r="S184" s="72"/>
      <c r="T184" s="56"/>
      <c r="U184" s="72"/>
      <c r="V184" s="72"/>
      <c r="W184" s="72"/>
      <c r="X184" s="72"/>
      <c r="Y184" s="56"/>
      <c r="Z184" s="72"/>
      <c r="AA184" s="72"/>
      <c r="AB184" s="72">
        <f>C184*D184</f>
        <v>7.7000000000000011</v>
      </c>
      <c r="AC184" s="56"/>
      <c r="AD184" s="97"/>
      <c r="AE184" s="97"/>
      <c r="AF184" s="97"/>
      <c r="AG184" s="97"/>
      <c r="AI184" s="97"/>
      <c r="AJ184" s="90"/>
      <c r="AK184" s="90"/>
      <c r="AL184" s="90"/>
      <c r="AM184" s="53"/>
      <c r="AN184" s="90"/>
      <c r="AO184" s="74"/>
      <c r="AP184" s="74"/>
      <c r="AQ184" s="74"/>
      <c r="AR184" s="74"/>
      <c r="AS184" s="74"/>
      <c r="AT184" s="53"/>
      <c r="AU184" s="90"/>
      <c r="AV184" s="90"/>
      <c r="AW184" s="90"/>
      <c r="AX184" s="90"/>
      <c r="AY184" s="90"/>
      <c r="AZ184" s="90"/>
      <c r="BA184" s="90"/>
      <c r="BB184" s="90"/>
      <c r="BC184" s="90"/>
      <c r="BD184" s="90"/>
      <c r="BE184" s="90"/>
      <c r="BF184" s="90"/>
      <c r="BG184" s="97"/>
      <c r="BH184" s="99"/>
      <c r="BI184" s="99"/>
      <c r="BJ184" s="99"/>
      <c r="BK184" s="99"/>
      <c r="BM184" s="53"/>
      <c r="BN184" s="97"/>
      <c r="BO184" s="53"/>
      <c r="BQ184" s="99"/>
      <c r="BR184" s="99"/>
      <c r="BS184" s="99"/>
    </row>
    <row r="185" spans="1:71" s="84" customFormat="1" ht="15" customHeight="1" x14ac:dyDescent="0.35">
      <c r="A185" s="92"/>
      <c r="B185" s="69" t="s">
        <v>194</v>
      </c>
      <c r="C185" s="56">
        <f>3.24</f>
        <v>3.24</v>
      </c>
      <c r="D185" s="56">
        <f>1.8+0.3</f>
        <v>2.1</v>
      </c>
      <c r="E185" s="56"/>
      <c r="F185" s="56"/>
      <c r="G185" s="56"/>
      <c r="H185" s="72"/>
      <c r="I185" s="72"/>
      <c r="J185" s="72"/>
      <c r="K185" s="72"/>
      <c r="L185" s="72"/>
      <c r="M185" s="72"/>
      <c r="N185" s="72"/>
      <c r="O185" s="72"/>
      <c r="P185" s="72"/>
      <c r="Q185" s="72"/>
      <c r="R185" s="72"/>
      <c r="S185" s="72"/>
      <c r="T185" s="56"/>
      <c r="U185" s="72"/>
      <c r="V185" s="72"/>
      <c r="W185" s="72"/>
      <c r="X185" s="72"/>
      <c r="Y185" s="56"/>
      <c r="Z185" s="72"/>
      <c r="AA185" s="72"/>
      <c r="AB185" s="72">
        <f>C185*D185</f>
        <v>6.8040000000000012</v>
      </c>
      <c r="AC185" s="56"/>
      <c r="AD185" s="97"/>
      <c r="AE185" s="97"/>
      <c r="AF185" s="97"/>
      <c r="AG185" s="97"/>
      <c r="AI185" s="97"/>
      <c r="AJ185" s="90"/>
      <c r="AK185" s="90"/>
      <c r="AL185" s="90"/>
      <c r="AM185" s="53"/>
      <c r="AN185" s="90"/>
      <c r="AO185" s="74"/>
      <c r="AP185" s="74"/>
      <c r="AQ185" s="74"/>
      <c r="AR185" s="74"/>
      <c r="AS185" s="74"/>
      <c r="AT185" s="53"/>
      <c r="AU185" s="90"/>
      <c r="AV185" s="90"/>
      <c r="AW185" s="90"/>
      <c r="AX185" s="90"/>
      <c r="AY185" s="90"/>
      <c r="AZ185" s="90"/>
      <c r="BA185" s="90"/>
      <c r="BB185" s="90"/>
      <c r="BC185" s="90"/>
      <c r="BD185" s="90"/>
      <c r="BE185" s="90"/>
      <c r="BF185" s="90"/>
      <c r="BG185" s="97"/>
      <c r="BH185" s="99"/>
      <c r="BI185" s="99"/>
      <c r="BJ185" s="99"/>
      <c r="BK185" s="99"/>
      <c r="BM185" s="53"/>
      <c r="BN185" s="97"/>
      <c r="BO185" s="53"/>
      <c r="BQ185" s="99"/>
      <c r="BR185" s="99"/>
      <c r="BS185" s="99"/>
    </row>
    <row r="186" spans="1:71" s="84" customFormat="1" ht="15" customHeight="1" x14ac:dyDescent="0.35">
      <c r="A186" s="92">
        <f>'Popis del_fasada'!A95</f>
        <v>5</v>
      </c>
      <c r="B186" s="69" t="s">
        <v>108</v>
      </c>
      <c r="C186" s="56"/>
      <c r="D186" s="56"/>
      <c r="E186" s="56"/>
      <c r="F186" s="53"/>
      <c r="G186" s="53"/>
      <c r="H186" s="90"/>
      <c r="I186" s="90"/>
      <c r="J186" s="72"/>
      <c r="K186" s="74"/>
      <c r="L186" s="74"/>
      <c r="M186" s="90"/>
      <c r="N186" s="74"/>
      <c r="O186" s="74"/>
      <c r="P186" s="74"/>
      <c r="Q186" s="74"/>
      <c r="R186" s="74"/>
      <c r="S186" s="74"/>
      <c r="T186" s="97"/>
      <c r="U186" s="90"/>
      <c r="V186" s="90"/>
      <c r="W186" s="90"/>
      <c r="X186" s="90"/>
      <c r="Y186" s="97"/>
      <c r="Z186" s="90"/>
      <c r="AA186" s="90"/>
      <c r="AB186" s="90"/>
      <c r="AC186" s="56"/>
      <c r="AD186" s="97"/>
      <c r="AE186" s="97"/>
      <c r="AF186" s="97"/>
      <c r="AG186" s="97"/>
      <c r="AI186" s="97"/>
      <c r="AJ186" s="90"/>
      <c r="AK186" s="90"/>
      <c r="AL186" s="90"/>
      <c r="AM186" s="53"/>
      <c r="AN186" s="90"/>
      <c r="AO186" s="74"/>
      <c r="AP186" s="74"/>
      <c r="AQ186" s="74"/>
      <c r="AR186" s="74"/>
      <c r="AS186" s="74"/>
      <c r="AT186" s="53"/>
      <c r="AU186" s="90"/>
      <c r="AV186" s="90"/>
      <c r="AW186" s="90"/>
      <c r="AX186" s="90"/>
      <c r="AY186" s="90"/>
      <c r="AZ186" s="90"/>
      <c r="BA186" s="90"/>
      <c r="BB186" s="90"/>
      <c r="BC186" s="90"/>
      <c r="BD186" s="90"/>
      <c r="BE186" s="90"/>
      <c r="BF186" s="90"/>
      <c r="BG186" s="97"/>
      <c r="BH186" s="99"/>
      <c r="BI186" s="99"/>
      <c r="BJ186" s="99"/>
      <c r="BK186" s="99"/>
      <c r="BM186" s="53"/>
      <c r="BN186" s="97"/>
      <c r="BO186" s="53"/>
      <c r="BQ186" s="99"/>
      <c r="BR186" s="99"/>
      <c r="BS186" s="99"/>
    </row>
    <row r="187" spans="1:71" s="84" customFormat="1" ht="15" customHeight="1" x14ac:dyDescent="0.45">
      <c r="A187" s="92"/>
      <c r="B187" s="56" t="s">
        <v>227</v>
      </c>
      <c r="C187" s="56">
        <v>0.82</v>
      </c>
      <c r="D187" s="56">
        <v>0.81</v>
      </c>
      <c r="E187" s="56">
        <v>1</v>
      </c>
      <c r="F187" s="53"/>
      <c r="G187" s="53"/>
      <c r="H187" s="90"/>
      <c r="I187" s="90"/>
      <c r="J187" s="72"/>
      <c r="K187" s="74"/>
      <c r="L187" s="74"/>
      <c r="M187" s="90"/>
      <c r="N187" s="74"/>
      <c r="O187" s="74"/>
      <c r="P187" s="74"/>
      <c r="Q187" s="74"/>
      <c r="R187" s="74"/>
      <c r="S187" s="74"/>
      <c r="T187" s="97"/>
      <c r="U187" s="90"/>
      <c r="V187" s="90"/>
      <c r="W187" s="90"/>
      <c r="X187" s="90"/>
      <c r="Y187" s="97"/>
      <c r="Z187" s="90"/>
      <c r="AA187" s="90"/>
      <c r="AB187" s="90"/>
      <c r="AC187" s="56">
        <f t="shared" ref="AC187:AC191" si="12">(0.05+C187+0.05)*E187</f>
        <v>0.92</v>
      </c>
      <c r="AD187" s="97"/>
      <c r="AE187" s="97"/>
      <c r="AF187" s="97"/>
      <c r="AG187" s="97"/>
      <c r="AI187" s="97"/>
      <c r="AJ187" s="90"/>
      <c r="AK187" s="90"/>
      <c r="AL187" s="90"/>
      <c r="AM187" s="53"/>
      <c r="AN187" s="90"/>
      <c r="AO187" s="74"/>
      <c r="AP187" s="74"/>
      <c r="AQ187" s="74"/>
      <c r="AR187" s="74"/>
      <c r="AS187" s="74"/>
      <c r="AT187" s="53"/>
      <c r="AU187" s="90"/>
      <c r="AV187" s="90"/>
      <c r="AW187" s="90"/>
      <c r="AX187" s="90"/>
      <c r="AY187" s="90"/>
      <c r="AZ187" s="90"/>
      <c r="BA187" s="90"/>
      <c r="BB187" s="90"/>
      <c r="BC187" s="90"/>
      <c r="BD187" s="90"/>
      <c r="BE187" s="90"/>
      <c r="BF187" s="90"/>
      <c r="BG187" s="97"/>
      <c r="BH187" s="99"/>
      <c r="BI187" s="99"/>
      <c r="BJ187" s="99"/>
      <c r="BK187" s="99"/>
      <c r="BM187" s="53"/>
      <c r="BN187" s="97"/>
      <c r="BO187" s="53"/>
      <c r="BQ187" s="99"/>
      <c r="BR187" s="99"/>
      <c r="BS187" s="99"/>
    </row>
    <row r="188" spans="1:71" s="84" customFormat="1" ht="15" customHeight="1" x14ac:dyDescent="0.45">
      <c r="A188" s="92"/>
      <c r="B188" s="56" t="s">
        <v>228</v>
      </c>
      <c r="C188" s="56">
        <v>1.5</v>
      </c>
      <c r="D188" s="56">
        <v>1.55</v>
      </c>
      <c r="E188" s="56">
        <v>1</v>
      </c>
      <c r="F188" s="53"/>
      <c r="G188" s="53"/>
      <c r="H188" s="90"/>
      <c r="I188" s="90"/>
      <c r="J188" s="72"/>
      <c r="K188" s="74"/>
      <c r="L188" s="74"/>
      <c r="M188" s="90"/>
      <c r="N188" s="74"/>
      <c r="O188" s="74"/>
      <c r="P188" s="74"/>
      <c r="Q188" s="74"/>
      <c r="R188" s="74"/>
      <c r="S188" s="74"/>
      <c r="T188" s="97"/>
      <c r="U188" s="90"/>
      <c r="V188" s="90"/>
      <c r="W188" s="90"/>
      <c r="X188" s="90"/>
      <c r="Y188" s="97"/>
      <c r="Z188" s="90"/>
      <c r="AA188" s="90"/>
      <c r="AB188" s="90"/>
      <c r="AC188" s="56">
        <f t="shared" si="12"/>
        <v>1.6</v>
      </c>
      <c r="AD188" s="97"/>
      <c r="AE188" s="97"/>
      <c r="AF188" s="97"/>
      <c r="AG188" s="97"/>
      <c r="AI188" s="97"/>
      <c r="AJ188" s="90"/>
      <c r="AK188" s="90"/>
      <c r="AL188" s="90"/>
      <c r="AM188" s="53"/>
      <c r="AN188" s="90"/>
      <c r="AO188" s="74"/>
      <c r="AP188" s="74"/>
      <c r="AQ188" s="74"/>
      <c r="AR188" s="74"/>
      <c r="AS188" s="74"/>
      <c r="AT188" s="53"/>
      <c r="AU188" s="90"/>
      <c r="AV188" s="90"/>
      <c r="AW188" s="90"/>
      <c r="AX188" s="90"/>
      <c r="AY188" s="90"/>
      <c r="AZ188" s="90"/>
      <c r="BA188" s="90"/>
      <c r="BB188" s="90"/>
      <c r="BC188" s="90"/>
      <c r="BD188" s="90"/>
      <c r="BE188" s="90"/>
      <c r="BF188" s="90"/>
      <c r="BG188" s="97"/>
      <c r="BH188" s="99"/>
      <c r="BI188" s="99"/>
      <c r="BJ188" s="99"/>
      <c r="BK188" s="99"/>
      <c r="BM188" s="53"/>
      <c r="BN188" s="97"/>
      <c r="BO188" s="53"/>
      <c r="BQ188" s="99"/>
      <c r="BR188" s="99"/>
      <c r="BS188" s="99"/>
    </row>
    <row r="189" spans="1:71" s="84" customFormat="1" ht="15" customHeight="1" x14ac:dyDescent="0.45">
      <c r="A189" s="92"/>
      <c r="B189" s="56" t="s">
        <v>229</v>
      </c>
      <c r="C189" s="56">
        <v>0.66</v>
      </c>
      <c r="D189" s="56">
        <v>0.61</v>
      </c>
      <c r="E189" s="56">
        <v>1</v>
      </c>
      <c r="F189" s="53"/>
      <c r="G189" s="53"/>
      <c r="H189" s="90"/>
      <c r="I189" s="90"/>
      <c r="J189" s="72"/>
      <c r="K189" s="74"/>
      <c r="L189" s="74"/>
      <c r="M189" s="90"/>
      <c r="N189" s="74"/>
      <c r="O189" s="74"/>
      <c r="P189" s="74"/>
      <c r="Q189" s="74"/>
      <c r="R189" s="74"/>
      <c r="S189" s="74"/>
      <c r="T189" s="97"/>
      <c r="U189" s="90"/>
      <c r="V189" s="90"/>
      <c r="W189" s="90"/>
      <c r="X189" s="90"/>
      <c r="Y189" s="97"/>
      <c r="Z189" s="90"/>
      <c r="AA189" s="90"/>
      <c r="AB189" s="90"/>
      <c r="AC189" s="56">
        <f t="shared" si="12"/>
        <v>0.76000000000000012</v>
      </c>
      <c r="AD189" s="97"/>
      <c r="AE189" s="97"/>
      <c r="AF189" s="97"/>
      <c r="AG189" s="97"/>
      <c r="AI189" s="97"/>
      <c r="AJ189" s="90"/>
      <c r="AK189" s="90"/>
      <c r="AL189" s="90"/>
      <c r="AM189" s="53"/>
      <c r="AN189" s="90"/>
      <c r="AO189" s="74"/>
      <c r="AP189" s="74"/>
      <c r="AQ189" s="74"/>
      <c r="AR189" s="74"/>
      <c r="AS189" s="74"/>
      <c r="AT189" s="53"/>
      <c r="AU189" s="90"/>
      <c r="AV189" s="90"/>
      <c r="AW189" s="90"/>
      <c r="AX189" s="90"/>
      <c r="AY189" s="90"/>
      <c r="AZ189" s="90"/>
      <c r="BA189" s="90"/>
      <c r="BB189" s="90"/>
      <c r="BC189" s="90"/>
      <c r="BD189" s="90"/>
      <c r="BE189" s="90"/>
      <c r="BF189" s="90"/>
      <c r="BG189" s="97"/>
      <c r="BH189" s="99"/>
      <c r="BI189" s="99"/>
      <c r="BJ189" s="99"/>
      <c r="BK189" s="99"/>
      <c r="BM189" s="53"/>
      <c r="BN189" s="97"/>
      <c r="BO189" s="53"/>
      <c r="BQ189" s="99"/>
      <c r="BR189" s="99"/>
      <c r="BS189" s="99"/>
    </row>
    <row r="190" spans="1:71" s="84" customFormat="1" ht="15" customHeight="1" x14ac:dyDescent="0.45">
      <c r="A190" s="92"/>
      <c r="B190" s="56" t="s">
        <v>230</v>
      </c>
      <c r="C190" s="56">
        <v>0.6</v>
      </c>
      <c r="D190" s="56">
        <v>0.65</v>
      </c>
      <c r="E190" s="56">
        <v>1</v>
      </c>
      <c r="F190" s="53"/>
      <c r="G190" s="53"/>
      <c r="H190" s="90"/>
      <c r="I190" s="90"/>
      <c r="J190" s="72"/>
      <c r="K190" s="74"/>
      <c r="L190" s="74"/>
      <c r="M190" s="90"/>
      <c r="N190" s="74"/>
      <c r="O190" s="74"/>
      <c r="P190" s="74"/>
      <c r="Q190" s="74"/>
      <c r="R190" s="74"/>
      <c r="S190" s="74"/>
      <c r="T190" s="97"/>
      <c r="U190" s="90"/>
      <c r="V190" s="90"/>
      <c r="W190" s="90"/>
      <c r="X190" s="90"/>
      <c r="Y190" s="97"/>
      <c r="Z190" s="90"/>
      <c r="AA190" s="90"/>
      <c r="AB190" s="90"/>
      <c r="AC190" s="56">
        <f t="shared" si="12"/>
        <v>0.70000000000000007</v>
      </c>
      <c r="AD190" s="97"/>
      <c r="AE190" s="97"/>
      <c r="AF190" s="97"/>
      <c r="AG190" s="97"/>
      <c r="AI190" s="97"/>
      <c r="AJ190" s="90"/>
      <c r="AK190" s="90"/>
      <c r="AL190" s="90"/>
      <c r="AM190" s="53"/>
      <c r="AN190" s="90"/>
      <c r="AO190" s="74"/>
      <c r="AP190" s="74"/>
      <c r="AQ190" s="74"/>
      <c r="AR190" s="74"/>
      <c r="AS190" s="74"/>
      <c r="AT190" s="53"/>
      <c r="AU190" s="90"/>
      <c r="AV190" s="90"/>
      <c r="AW190" s="90"/>
      <c r="AX190" s="90"/>
      <c r="AY190" s="90"/>
      <c r="AZ190" s="90"/>
      <c r="BA190" s="90"/>
      <c r="BB190" s="90"/>
      <c r="BC190" s="90"/>
      <c r="BD190" s="90"/>
      <c r="BE190" s="90"/>
      <c r="BF190" s="90"/>
      <c r="BG190" s="97"/>
      <c r="BH190" s="99"/>
      <c r="BI190" s="99"/>
      <c r="BJ190" s="99"/>
      <c r="BK190" s="99"/>
      <c r="BM190" s="53"/>
      <c r="BN190" s="97"/>
      <c r="BO190" s="53"/>
      <c r="BQ190" s="99"/>
      <c r="BR190" s="99"/>
      <c r="BS190" s="99"/>
    </row>
    <row r="191" spans="1:71" s="84" customFormat="1" ht="15" customHeight="1" x14ac:dyDescent="0.45">
      <c r="A191" s="92"/>
      <c r="B191" s="56" t="s">
        <v>231</v>
      </c>
      <c r="C191" s="56">
        <v>0.63</v>
      </c>
      <c r="D191" s="56">
        <v>0.64</v>
      </c>
      <c r="E191" s="56">
        <v>1</v>
      </c>
      <c r="F191" s="53"/>
      <c r="G191" s="53"/>
      <c r="H191" s="90"/>
      <c r="I191" s="90"/>
      <c r="J191" s="72"/>
      <c r="K191" s="74"/>
      <c r="L191" s="74"/>
      <c r="M191" s="90"/>
      <c r="N191" s="74"/>
      <c r="O191" s="74"/>
      <c r="P191" s="74"/>
      <c r="Q191" s="74"/>
      <c r="R191" s="74"/>
      <c r="S191" s="74"/>
      <c r="T191" s="97"/>
      <c r="U191" s="90"/>
      <c r="V191" s="90"/>
      <c r="W191" s="90"/>
      <c r="X191" s="90"/>
      <c r="Y191" s="97"/>
      <c r="Z191" s="90"/>
      <c r="AA191" s="90"/>
      <c r="AB191" s="90"/>
      <c r="AC191" s="56">
        <f t="shared" si="12"/>
        <v>0.73000000000000009</v>
      </c>
      <c r="AD191" s="97"/>
      <c r="AE191" s="97"/>
      <c r="AF191" s="97"/>
      <c r="AG191" s="97"/>
      <c r="AI191" s="97"/>
      <c r="AJ191" s="90"/>
      <c r="AK191" s="90"/>
      <c r="AL191" s="90"/>
      <c r="AM191" s="53"/>
      <c r="AN191" s="90"/>
      <c r="AO191" s="74"/>
      <c r="AP191" s="74"/>
      <c r="AQ191" s="74"/>
      <c r="AR191" s="74"/>
      <c r="AS191" s="74"/>
      <c r="AT191" s="53"/>
      <c r="AU191" s="90"/>
      <c r="AV191" s="90"/>
      <c r="AW191" s="90"/>
      <c r="AX191" s="90"/>
      <c r="AY191" s="90"/>
      <c r="AZ191" s="90"/>
      <c r="BA191" s="90"/>
      <c r="BB191" s="90"/>
      <c r="BC191" s="90"/>
      <c r="BD191" s="90"/>
      <c r="BE191" s="90"/>
      <c r="BF191" s="90"/>
      <c r="BG191" s="97"/>
      <c r="BH191" s="99"/>
      <c r="BI191" s="99"/>
      <c r="BJ191" s="99"/>
      <c r="BK191" s="99"/>
      <c r="BM191" s="53"/>
      <c r="BN191" s="97"/>
      <c r="BO191" s="53"/>
      <c r="BQ191" s="99"/>
      <c r="BR191" s="99"/>
      <c r="BS191" s="99"/>
    </row>
    <row r="192" spans="1:71" s="84" customFormat="1" ht="15" customHeight="1" x14ac:dyDescent="0.35">
      <c r="A192" s="92">
        <f>'Popis del_fasada'!A99</f>
        <v>7</v>
      </c>
      <c r="B192" s="69" t="s">
        <v>173</v>
      </c>
      <c r="C192" s="56">
        <f>1.75+3.02+0.4</f>
        <v>5.17</v>
      </c>
      <c r="D192" s="56">
        <v>2.1800000000000002</v>
      </c>
      <c r="E192" s="56"/>
      <c r="F192" s="56"/>
      <c r="G192" s="56"/>
      <c r="H192" s="72"/>
      <c r="I192" s="72"/>
      <c r="J192" s="72"/>
      <c r="K192" s="72"/>
      <c r="L192" s="72"/>
      <c r="M192" s="72"/>
      <c r="N192" s="72"/>
      <c r="O192" s="72"/>
      <c r="P192" s="72"/>
      <c r="Q192" s="72"/>
      <c r="R192" s="72"/>
      <c r="S192" s="72"/>
      <c r="T192" s="56"/>
      <c r="U192" s="72"/>
      <c r="V192" s="72"/>
      <c r="W192" s="72"/>
      <c r="X192" s="72"/>
      <c r="Y192" s="56"/>
      <c r="Z192" s="72"/>
      <c r="AA192" s="72"/>
      <c r="AB192" s="72"/>
      <c r="AC192" s="56"/>
      <c r="AD192" s="56">
        <f>C192*D192</f>
        <v>11.2706</v>
      </c>
      <c r="AE192" s="97"/>
      <c r="AF192" s="97"/>
      <c r="AG192" s="97"/>
      <c r="AI192" s="97"/>
      <c r="AJ192" s="90"/>
      <c r="AK192" s="90"/>
      <c r="AL192" s="90"/>
      <c r="AM192" s="53"/>
      <c r="AN192" s="90"/>
      <c r="AO192" s="74"/>
      <c r="AP192" s="74"/>
      <c r="AQ192" s="74"/>
      <c r="AR192" s="74"/>
      <c r="AS192" s="74"/>
      <c r="AT192" s="53"/>
      <c r="AU192" s="90"/>
      <c r="AV192" s="90"/>
      <c r="AW192" s="90"/>
      <c r="AX192" s="90"/>
      <c r="AY192" s="90"/>
      <c r="AZ192" s="90"/>
      <c r="BA192" s="90"/>
      <c r="BB192" s="90"/>
      <c r="BC192" s="90"/>
      <c r="BD192" s="90"/>
      <c r="BE192" s="90"/>
      <c r="BF192" s="90"/>
      <c r="BG192" s="97"/>
      <c r="BH192" s="99"/>
      <c r="BI192" s="99"/>
      <c r="BJ192" s="99"/>
      <c r="BK192" s="99"/>
      <c r="BM192" s="53"/>
      <c r="BN192" s="97"/>
      <c r="BO192" s="53"/>
      <c r="BQ192" s="99"/>
      <c r="BR192" s="99"/>
      <c r="BS192" s="99"/>
    </row>
    <row r="193" spans="1:71" s="84" customFormat="1" ht="15" customHeight="1" x14ac:dyDescent="0.35">
      <c r="A193" s="92"/>
      <c r="B193" s="69"/>
      <c r="C193" s="56">
        <v>3.66</v>
      </c>
      <c r="D193" s="56">
        <v>2.1800000000000002</v>
      </c>
      <c r="E193" s="56"/>
      <c r="F193" s="56"/>
      <c r="G193" s="56"/>
      <c r="H193" s="72"/>
      <c r="I193" s="72"/>
      <c r="J193" s="72"/>
      <c r="K193" s="72"/>
      <c r="L193" s="72"/>
      <c r="M193" s="72"/>
      <c r="N193" s="72"/>
      <c r="O193" s="72"/>
      <c r="P193" s="72"/>
      <c r="Q193" s="72"/>
      <c r="R193" s="72"/>
      <c r="S193" s="72"/>
      <c r="T193" s="56"/>
      <c r="U193" s="72"/>
      <c r="V193" s="72"/>
      <c r="W193" s="72"/>
      <c r="X193" s="72"/>
      <c r="Y193" s="56"/>
      <c r="Z193" s="72"/>
      <c r="AA193" s="72"/>
      <c r="AB193" s="72"/>
      <c r="AC193" s="56"/>
      <c r="AD193" s="56">
        <f>(C193*D193)/2</f>
        <v>3.9894000000000003</v>
      </c>
      <c r="AE193" s="97"/>
      <c r="AF193" s="97"/>
      <c r="AG193" s="97"/>
      <c r="AI193" s="97"/>
      <c r="AJ193" s="90"/>
      <c r="AK193" s="90"/>
      <c r="AL193" s="90"/>
      <c r="AM193" s="53"/>
      <c r="AN193" s="90"/>
      <c r="AO193" s="74"/>
      <c r="AP193" s="74"/>
      <c r="AQ193" s="74"/>
      <c r="AR193" s="74"/>
      <c r="AS193" s="74"/>
      <c r="AT193" s="53"/>
      <c r="AU193" s="90"/>
      <c r="AV193" s="90"/>
      <c r="AW193" s="90"/>
      <c r="AX193" s="90"/>
      <c r="AY193" s="90"/>
      <c r="AZ193" s="90"/>
      <c r="BA193" s="90"/>
      <c r="BB193" s="90"/>
      <c r="BC193" s="90"/>
      <c r="BD193" s="90"/>
      <c r="BE193" s="90"/>
      <c r="BF193" s="90"/>
      <c r="BG193" s="97"/>
      <c r="BH193" s="99"/>
      <c r="BI193" s="99"/>
      <c r="BJ193" s="99"/>
      <c r="BK193" s="99"/>
      <c r="BM193" s="53"/>
      <c r="BN193" s="97"/>
      <c r="BO193" s="53"/>
      <c r="BQ193" s="99"/>
      <c r="BR193" s="99"/>
      <c r="BS193" s="99"/>
    </row>
    <row r="194" spans="1:71" s="84" customFormat="1" ht="15" customHeight="1" x14ac:dyDescent="0.35">
      <c r="A194" s="92"/>
      <c r="B194" s="69"/>
      <c r="C194" s="90"/>
      <c r="D194" s="90"/>
      <c r="E194" s="90"/>
      <c r="F194" s="53"/>
      <c r="G194" s="53"/>
      <c r="H194" s="90"/>
      <c r="I194" s="90"/>
      <c r="J194" s="74"/>
      <c r="K194" s="74"/>
      <c r="L194" s="74"/>
      <c r="M194" s="90"/>
      <c r="N194" s="74"/>
      <c r="O194" s="74"/>
      <c r="P194" s="74"/>
      <c r="Q194" s="74"/>
      <c r="R194" s="74"/>
      <c r="S194" s="74"/>
      <c r="T194" s="97"/>
      <c r="U194" s="90"/>
      <c r="V194" s="90"/>
      <c r="W194" s="90"/>
      <c r="X194" s="90"/>
      <c r="Y194" s="97"/>
      <c r="Z194" s="90"/>
      <c r="AA194" s="90"/>
      <c r="AB194" s="90"/>
      <c r="AC194" s="97"/>
      <c r="AD194" s="97"/>
      <c r="AE194" s="97"/>
      <c r="AF194" s="97"/>
      <c r="AG194" s="97"/>
      <c r="AI194" s="97"/>
      <c r="AJ194" s="90"/>
      <c r="AK194" s="90"/>
      <c r="AL194" s="90"/>
      <c r="AM194" s="53"/>
      <c r="AN194" s="90"/>
      <c r="AO194" s="74"/>
      <c r="AP194" s="74"/>
      <c r="AQ194" s="74"/>
      <c r="AR194" s="74"/>
      <c r="AS194" s="74"/>
      <c r="AT194" s="53"/>
      <c r="AU194" s="90"/>
      <c r="AV194" s="90"/>
      <c r="AW194" s="90"/>
      <c r="AX194" s="90"/>
      <c r="AY194" s="90"/>
      <c r="AZ194" s="90"/>
      <c r="BA194" s="90"/>
      <c r="BB194" s="90"/>
      <c r="BC194" s="90"/>
      <c r="BD194" s="90"/>
      <c r="BE194" s="90"/>
      <c r="BF194" s="90"/>
      <c r="BG194" s="97"/>
      <c r="BH194" s="99"/>
      <c r="BI194" s="99"/>
      <c r="BJ194" s="99"/>
      <c r="BK194" s="99"/>
      <c r="BM194" s="53"/>
      <c r="BN194" s="97"/>
      <c r="BO194" s="53"/>
      <c r="BQ194" s="99"/>
      <c r="BR194" s="99"/>
      <c r="BS194" s="99"/>
    </row>
    <row r="195" spans="1:71" s="84" customFormat="1" ht="15" customHeight="1" x14ac:dyDescent="0.35">
      <c r="A195" s="92"/>
      <c r="B195" s="69" t="str">
        <f>'Popis del_fasada'!B111</f>
        <v>TESARSKA DELA</v>
      </c>
      <c r="C195" s="90"/>
      <c r="D195" s="90"/>
      <c r="E195" s="90"/>
      <c r="F195" s="53"/>
      <c r="G195" s="53"/>
      <c r="H195" s="90"/>
      <c r="I195" s="90"/>
      <c r="J195" s="74"/>
      <c r="K195" s="74"/>
      <c r="L195" s="74"/>
      <c r="M195" s="90"/>
      <c r="N195" s="74"/>
      <c r="O195" s="74"/>
      <c r="P195" s="74"/>
      <c r="Q195" s="74"/>
      <c r="R195" s="74"/>
      <c r="S195" s="74"/>
      <c r="T195" s="97"/>
      <c r="U195" s="90"/>
      <c r="V195" s="90"/>
      <c r="W195" s="90"/>
      <c r="X195" s="90"/>
      <c r="Y195" s="97"/>
      <c r="Z195" s="90"/>
      <c r="AA195" s="90"/>
      <c r="AB195" s="90"/>
      <c r="AC195" s="97"/>
      <c r="AD195" s="97"/>
      <c r="AE195" s="97"/>
      <c r="AF195" s="97"/>
      <c r="AG195" s="97"/>
      <c r="AI195" s="97"/>
      <c r="AJ195" s="90"/>
      <c r="AK195" s="90"/>
      <c r="AL195" s="90"/>
      <c r="AM195" s="53"/>
      <c r="AN195" s="90"/>
      <c r="AO195" s="74"/>
      <c r="AP195" s="74"/>
      <c r="AQ195" s="74"/>
      <c r="AR195" s="74"/>
      <c r="AS195" s="74"/>
      <c r="AT195" s="53"/>
      <c r="AU195" s="90"/>
      <c r="AV195" s="90"/>
      <c r="AW195" s="90"/>
      <c r="AX195" s="90"/>
      <c r="AY195" s="90"/>
      <c r="AZ195" s="90"/>
      <c r="BA195" s="90"/>
      <c r="BB195" s="90"/>
      <c r="BC195" s="90"/>
      <c r="BD195" s="90"/>
      <c r="BE195" s="90"/>
      <c r="BF195" s="90"/>
      <c r="BG195" s="97"/>
      <c r="BH195" s="99"/>
      <c r="BI195" s="99"/>
      <c r="BJ195" s="99"/>
      <c r="BK195" s="99"/>
      <c r="BM195" s="53"/>
      <c r="BN195" s="97"/>
      <c r="BO195" s="53"/>
      <c r="BQ195" s="99"/>
      <c r="BR195" s="99"/>
      <c r="BS195" s="99"/>
    </row>
    <row r="196" spans="1:71" s="84" customFormat="1" ht="15" customHeight="1" x14ac:dyDescent="0.35">
      <c r="A196" s="92" t="str">
        <f>'Popis del_fasada'!A113</f>
        <v>1</v>
      </c>
      <c r="B196" s="69" t="s">
        <v>21</v>
      </c>
      <c r="C196" s="56">
        <f>0.8+0.3+10.57+0.8+0.3</f>
        <v>12.770000000000001</v>
      </c>
      <c r="D196" s="56">
        <f>8.48-0.8</f>
        <v>7.6800000000000006</v>
      </c>
      <c r="E196" s="72"/>
      <c r="F196" s="72"/>
      <c r="G196" s="56"/>
      <c r="H196" s="72"/>
      <c r="I196" s="72"/>
      <c r="J196" s="72"/>
      <c r="K196" s="72"/>
      <c r="L196" s="72"/>
      <c r="M196" s="72"/>
      <c r="N196" s="72"/>
      <c r="O196" s="72"/>
      <c r="P196" s="72"/>
      <c r="Q196" s="72"/>
      <c r="R196" s="72"/>
      <c r="S196" s="72"/>
      <c r="T196" s="56"/>
      <c r="U196" s="72"/>
      <c r="V196" s="72"/>
      <c r="W196" s="72"/>
      <c r="X196" s="72"/>
      <c r="Y196" s="56"/>
      <c r="Z196" s="72"/>
      <c r="AA196" s="72"/>
      <c r="AB196" s="72"/>
      <c r="AC196" s="56"/>
      <c r="AD196" s="56"/>
      <c r="AE196" s="56"/>
      <c r="AF196" s="56"/>
      <c r="AG196" s="56"/>
      <c r="AI196" s="56"/>
      <c r="AJ196" s="72">
        <f>C196*D196</f>
        <v>98.073600000000013</v>
      </c>
      <c r="AK196" s="72"/>
      <c r="AL196" s="72"/>
      <c r="AM196" s="53"/>
      <c r="AN196" s="90"/>
      <c r="AO196" s="74"/>
      <c r="AP196" s="74"/>
      <c r="AQ196" s="74"/>
      <c r="AR196" s="74"/>
      <c r="AS196" s="74"/>
      <c r="AT196" s="53"/>
      <c r="AU196" s="90"/>
      <c r="AV196" s="90"/>
      <c r="AW196" s="90"/>
      <c r="AX196" s="90"/>
      <c r="AY196" s="90"/>
      <c r="AZ196" s="90"/>
      <c r="BA196" s="90"/>
      <c r="BB196" s="90"/>
      <c r="BC196" s="90"/>
      <c r="BD196" s="90"/>
      <c r="BE196" s="90"/>
      <c r="BF196" s="90"/>
      <c r="BG196" s="97"/>
      <c r="BH196" s="99"/>
      <c r="BI196" s="99"/>
      <c r="BJ196" s="99"/>
      <c r="BK196" s="99"/>
      <c r="BM196" s="53"/>
      <c r="BN196" s="97"/>
      <c r="BO196" s="53"/>
      <c r="BQ196" s="99"/>
      <c r="BR196" s="99"/>
      <c r="BS196" s="99"/>
    </row>
    <row r="197" spans="1:71" s="84" customFormat="1" ht="15" customHeight="1" x14ac:dyDescent="0.35">
      <c r="A197" s="92">
        <f>'Popis del_fasada'!A115</f>
        <v>2</v>
      </c>
      <c r="B197" s="69" t="s">
        <v>36</v>
      </c>
      <c r="C197" s="72">
        <v>2</v>
      </c>
      <c r="D197" s="72"/>
      <c r="E197" s="72"/>
      <c r="F197" s="72"/>
      <c r="G197" s="56"/>
      <c r="H197" s="72"/>
      <c r="I197" s="72"/>
      <c r="J197" s="72"/>
      <c r="K197" s="72"/>
      <c r="L197" s="72"/>
      <c r="M197" s="72"/>
      <c r="N197" s="72"/>
      <c r="O197" s="72"/>
      <c r="P197" s="72"/>
      <c r="Q197" s="72"/>
      <c r="R197" s="72"/>
      <c r="S197" s="72"/>
      <c r="T197" s="56"/>
      <c r="U197" s="72"/>
      <c r="V197" s="72"/>
      <c r="W197" s="72"/>
      <c r="X197" s="72"/>
      <c r="Y197" s="56"/>
      <c r="Z197" s="72"/>
      <c r="AA197" s="72"/>
      <c r="AB197" s="72"/>
      <c r="AC197" s="56"/>
      <c r="AD197" s="56"/>
      <c r="AE197" s="56"/>
      <c r="AF197" s="56"/>
      <c r="AG197" s="56"/>
      <c r="AI197" s="56"/>
      <c r="AJ197" s="72"/>
      <c r="AK197" s="72">
        <f>C197</f>
        <v>2</v>
      </c>
      <c r="AL197" s="72"/>
      <c r="AM197" s="53"/>
      <c r="AN197" s="90"/>
      <c r="AO197" s="74"/>
      <c r="AP197" s="74"/>
      <c r="AQ197" s="74"/>
      <c r="AR197" s="74"/>
      <c r="AS197" s="74"/>
      <c r="AT197" s="53"/>
      <c r="AU197" s="90"/>
      <c r="AV197" s="90"/>
      <c r="AW197" s="90"/>
      <c r="AX197" s="90"/>
      <c r="AY197" s="90"/>
      <c r="AZ197" s="90"/>
      <c r="BA197" s="90"/>
      <c r="BB197" s="90"/>
      <c r="BC197" s="90"/>
      <c r="BD197" s="90"/>
      <c r="BE197" s="90"/>
      <c r="BF197" s="90"/>
      <c r="BG197" s="97"/>
      <c r="BH197" s="99"/>
      <c r="BI197" s="99"/>
      <c r="BJ197" s="99"/>
      <c r="BK197" s="99"/>
      <c r="BM197" s="53"/>
      <c r="BN197" s="97"/>
      <c r="BO197" s="53"/>
      <c r="BQ197" s="99"/>
      <c r="BR197" s="99"/>
      <c r="BS197" s="99"/>
    </row>
    <row r="198" spans="1:71" s="84" customFormat="1" ht="15" customHeight="1" x14ac:dyDescent="0.35">
      <c r="A198" s="92">
        <f>'Popis del_fasada'!A119</f>
        <v>3</v>
      </c>
      <c r="B198" s="69" t="s">
        <v>168</v>
      </c>
      <c r="C198" s="72">
        <v>3.24</v>
      </c>
      <c r="D198" s="72">
        <v>1.75</v>
      </c>
      <c r="E198" s="72"/>
      <c r="F198" s="72"/>
      <c r="G198" s="56"/>
      <c r="H198" s="72"/>
      <c r="I198" s="72"/>
      <c r="J198" s="72"/>
      <c r="K198" s="72"/>
      <c r="L198" s="72"/>
      <c r="M198" s="72"/>
      <c r="N198" s="72"/>
      <c r="O198" s="72"/>
      <c r="P198" s="72"/>
      <c r="Q198" s="72"/>
      <c r="R198" s="72"/>
      <c r="S198" s="72"/>
      <c r="T198" s="56"/>
      <c r="U198" s="72"/>
      <c r="V198" s="72"/>
      <c r="W198" s="72"/>
      <c r="X198" s="72"/>
      <c r="Y198" s="56"/>
      <c r="Z198" s="72"/>
      <c r="AA198" s="72"/>
      <c r="AB198" s="72"/>
      <c r="AC198" s="56"/>
      <c r="AD198" s="56"/>
      <c r="AE198" s="56"/>
      <c r="AF198" s="56"/>
      <c r="AG198" s="56"/>
      <c r="AI198" s="56"/>
      <c r="AJ198" s="72"/>
      <c r="AK198" s="72"/>
      <c r="AL198" s="72">
        <f>C198*D198</f>
        <v>5.67</v>
      </c>
      <c r="AM198" s="53"/>
      <c r="AN198" s="90"/>
      <c r="AO198" s="74"/>
      <c r="AP198" s="74"/>
      <c r="AQ198" s="74"/>
      <c r="AR198" s="74"/>
      <c r="AS198" s="74"/>
      <c r="AT198" s="53"/>
      <c r="AU198" s="90"/>
      <c r="AV198" s="90"/>
      <c r="AW198" s="90"/>
      <c r="AX198" s="90"/>
      <c r="AY198" s="90"/>
      <c r="AZ198" s="90"/>
      <c r="BA198" s="90"/>
      <c r="BB198" s="90"/>
      <c r="BC198" s="90"/>
      <c r="BD198" s="90"/>
      <c r="BE198" s="90"/>
      <c r="BF198" s="90"/>
      <c r="BG198" s="97"/>
      <c r="BH198" s="99"/>
      <c r="BI198" s="99"/>
      <c r="BJ198" s="99"/>
      <c r="BK198" s="99"/>
      <c r="BM198" s="53"/>
      <c r="BN198" s="97"/>
      <c r="BO198" s="53"/>
      <c r="BQ198" s="99"/>
      <c r="BR198" s="99"/>
      <c r="BS198" s="99"/>
    </row>
    <row r="199" spans="1:71" s="84" customFormat="1" ht="15" customHeight="1" x14ac:dyDescent="0.35">
      <c r="A199" s="92"/>
      <c r="B199" s="69"/>
      <c r="C199" s="90"/>
      <c r="D199" s="56"/>
      <c r="E199" s="90"/>
      <c r="F199" s="53"/>
      <c r="G199" s="53"/>
      <c r="H199" s="90"/>
      <c r="I199" s="90"/>
      <c r="J199" s="74"/>
      <c r="K199" s="74"/>
      <c r="L199" s="74"/>
      <c r="M199" s="90"/>
      <c r="N199" s="74"/>
      <c r="O199" s="74"/>
      <c r="P199" s="74"/>
      <c r="Q199" s="74"/>
      <c r="R199" s="74"/>
      <c r="S199" s="74"/>
      <c r="T199" s="97"/>
      <c r="U199" s="90"/>
      <c r="V199" s="90"/>
      <c r="W199" s="90"/>
      <c r="X199" s="90"/>
      <c r="Y199" s="97"/>
      <c r="Z199" s="90"/>
      <c r="AA199" s="90"/>
      <c r="AB199" s="90"/>
      <c r="AC199" s="97"/>
      <c r="AD199" s="97"/>
      <c r="AE199" s="97"/>
      <c r="AF199" s="97"/>
      <c r="AG199" s="97"/>
      <c r="AI199" s="97"/>
      <c r="AJ199" s="90"/>
      <c r="AK199" s="90"/>
      <c r="AL199" s="90"/>
      <c r="AM199" s="53"/>
      <c r="AN199" s="90"/>
      <c r="AO199" s="74"/>
      <c r="AP199" s="74"/>
      <c r="AQ199" s="74"/>
      <c r="AR199" s="74"/>
      <c r="AS199" s="74"/>
      <c r="AT199" s="53"/>
      <c r="AU199" s="90"/>
      <c r="AV199" s="90"/>
      <c r="AW199" s="90"/>
      <c r="AX199" s="90"/>
      <c r="AY199" s="90"/>
      <c r="AZ199" s="90"/>
      <c r="BA199" s="90"/>
      <c r="BB199" s="90"/>
      <c r="BC199" s="90"/>
      <c r="BD199" s="90"/>
      <c r="BE199" s="90"/>
      <c r="BF199" s="90"/>
      <c r="BG199" s="97"/>
      <c r="BH199" s="99"/>
      <c r="BI199" s="99"/>
      <c r="BJ199" s="99"/>
      <c r="BK199" s="99"/>
      <c r="BM199" s="53"/>
      <c r="BN199" s="97"/>
      <c r="BO199" s="53"/>
      <c r="BQ199" s="99"/>
      <c r="BR199" s="99"/>
      <c r="BS199" s="99"/>
    </row>
    <row r="200" spans="1:71" s="84" customFormat="1" ht="15" customHeight="1" x14ac:dyDescent="0.35">
      <c r="A200" s="92"/>
      <c r="B200" s="69" t="str">
        <f>'Popis del_fasada'!B123</f>
        <v>FASADERSKA DELA</v>
      </c>
      <c r="C200" s="90"/>
      <c r="D200" s="90"/>
      <c r="E200" s="90"/>
      <c r="F200" s="53"/>
      <c r="G200" s="53"/>
      <c r="H200" s="90"/>
      <c r="I200" s="90"/>
      <c r="J200" s="74"/>
      <c r="K200" s="74"/>
      <c r="L200" s="74"/>
      <c r="M200" s="90"/>
      <c r="N200" s="74"/>
      <c r="O200" s="74"/>
      <c r="P200" s="74"/>
      <c r="Q200" s="74"/>
      <c r="R200" s="74"/>
      <c r="S200" s="74"/>
      <c r="T200" s="97"/>
      <c r="U200" s="90"/>
      <c r="V200" s="90"/>
      <c r="W200" s="90"/>
      <c r="X200" s="90"/>
      <c r="Y200" s="97"/>
      <c r="Z200" s="90"/>
      <c r="AA200" s="90"/>
      <c r="AB200" s="90"/>
      <c r="AC200" s="97"/>
      <c r="AD200" s="97"/>
      <c r="AE200" s="97"/>
      <c r="AF200" s="97"/>
      <c r="AG200" s="97"/>
      <c r="AI200" s="97"/>
      <c r="AJ200" s="90"/>
      <c r="AK200" s="90"/>
      <c r="AL200" s="90"/>
      <c r="AM200" s="53"/>
      <c r="AN200" s="90"/>
      <c r="AO200" s="74"/>
      <c r="AP200" s="74"/>
      <c r="AQ200" s="74"/>
      <c r="AR200" s="74"/>
      <c r="AS200" s="74"/>
      <c r="AT200" s="53"/>
      <c r="AU200" s="90"/>
      <c r="AV200" s="90"/>
      <c r="AW200" s="90"/>
      <c r="AX200" s="90"/>
      <c r="AY200" s="90"/>
      <c r="AZ200" s="90"/>
      <c r="BA200" s="90"/>
      <c r="BB200" s="90"/>
      <c r="BC200" s="90"/>
      <c r="BD200" s="90"/>
      <c r="BE200" s="90"/>
      <c r="BF200" s="90"/>
      <c r="BG200" s="97"/>
      <c r="BH200" s="99"/>
      <c r="BI200" s="99"/>
      <c r="BJ200" s="99"/>
      <c r="BK200" s="99"/>
      <c r="BM200" s="53"/>
      <c r="BN200" s="97"/>
      <c r="BO200" s="53"/>
      <c r="BQ200" s="99"/>
      <c r="BR200" s="99"/>
      <c r="BS200" s="99"/>
    </row>
    <row r="201" spans="1:71" s="84" customFormat="1" ht="15" customHeight="1" x14ac:dyDescent="0.35">
      <c r="A201" s="92" t="str">
        <f>'Popis del_fasada'!A128</f>
        <v>1</v>
      </c>
      <c r="B201" s="69" t="s">
        <v>169</v>
      </c>
      <c r="C201" s="56">
        <f>0.15+3.91+3.66+0.15</f>
        <v>7.870000000000001</v>
      </c>
      <c r="D201" s="56">
        <v>1</v>
      </c>
      <c r="E201" s="72"/>
      <c r="F201" s="72"/>
      <c r="G201" s="56"/>
      <c r="H201" s="72"/>
      <c r="I201" s="72"/>
      <c r="J201" s="72"/>
      <c r="K201" s="72"/>
      <c r="L201" s="72"/>
      <c r="M201" s="72"/>
      <c r="N201" s="72"/>
      <c r="O201" s="72"/>
      <c r="P201" s="72"/>
      <c r="Q201" s="72"/>
      <c r="R201" s="72"/>
      <c r="S201" s="72"/>
      <c r="T201" s="56"/>
      <c r="U201" s="72"/>
      <c r="V201" s="72"/>
      <c r="W201" s="72"/>
      <c r="X201" s="72"/>
      <c r="Y201" s="56"/>
      <c r="Z201" s="72"/>
      <c r="AA201" s="72"/>
      <c r="AB201" s="72"/>
      <c r="AC201" s="56"/>
      <c r="AD201" s="56"/>
      <c r="AE201" s="56"/>
      <c r="AF201" s="56"/>
      <c r="AG201" s="56"/>
      <c r="AI201" s="56"/>
      <c r="AJ201" s="72"/>
      <c r="AK201" s="72"/>
      <c r="AL201" s="72"/>
      <c r="AM201" s="56"/>
      <c r="AN201" s="72">
        <f>C201*D201</f>
        <v>7.870000000000001</v>
      </c>
      <c r="AO201" s="72"/>
      <c r="AP201" s="74"/>
      <c r="AQ201" s="74"/>
      <c r="AR201" s="74"/>
      <c r="AS201" s="74"/>
      <c r="AT201" s="53"/>
      <c r="AU201" s="90"/>
      <c r="AV201" s="90"/>
      <c r="AW201" s="90"/>
      <c r="AX201" s="90"/>
      <c r="AY201" s="90"/>
      <c r="AZ201" s="90"/>
      <c r="BA201" s="90"/>
      <c r="BB201" s="90"/>
      <c r="BC201" s="90"/>
      <c r="BD201" s="90"/>
      <c r="BE201" s="90"/>
      <c r="BF201" s="90"/>
      <c r="BG201" s="97"/>
      <c r="BH201" s="99"/>
      <c r="BI201" s="99"/>
      <c r="BJ201" s="99"/>
      <c r="BK201" s="99"/>
      <c r="BM201" s="53"/>
      <c r="BN201" s="97"/>
      <c r="BO201" s="53"/>
      <c r="BQ201" s="99"/>
      <c r="BR201" s="99"/>
      <c r="BS201" s="99"/>
    </row>
    <row r="202" spans="1:71" s="83" customFormat="1" x14ac:dyDescent="0.35">
      <c r="A202" s="136" t="str">
        <f>'Popis del_fasada'!A130</f>
        <v>2</v>
      </c>
      <c r="B202" s="69" t="s">
        <v>97</v>
      </c>
      <c r="C202" s="56">
        <f>0.15+10.57+0.15</f>
        <v>10.870000000000001</v>
      </c>
      <c r="D202" s="56">
        <f>8.48-0.7</f>
        <v>7.78</v>
      </c>
      <c r="E202" s="72"/>
      <c r="F202" s="72"/>
      <c r="G202" s="56"/>
      <c r="H202" s="72"/>
      <c r="I202" s="72"/>
      <c r="J202" s="72"/>
      <c r="K202" s="72"/>
      <c r="L202" s="72"/>
      <c r="M202" s="72"/>
      <c r="N202" s="72"/>
      <c r="O202" s="72"/>
      <c r="P202" s="72"/>
      <c r="Q202" s="72"/>
      <c r="R202" s="72"/>
      <c r="S202" s="72"/>
      <c r="T202" s="56"/>
      <c r="U202" s="72"/>
      <c r="V202" s="72"/>
      <c r="W202" s="72"/>
      <c r="X202" s="72"/>
      <c r="Y202" s="56"/>
      <c r="Z202" s="72"/>
      <c r="AA202" s="72"/>
      <c r="AB202" s="72"/>
      <c r="AC202" s="56"/>
      <c r="AD202" s="56"/>
      <c r="AE202" s="56"/>
      <c r="AF202" s="56"/>
      <c r="AG202" s="56"/>
      <c r="AH202" s="84"/>
      <c r="AI202" s="56"/>
      <c r="AJ202" s="72"/>
      <c r="AK202" s="72"/>
      <c r="AL202" s="72"/>
      <c r="AM202" s="56"/>
      <c r="AN202" s="72"/>
      <c r="AO202" s="72">
        <f>C202*D202</f>
        <v>84.568600000000004</v>
      </c>
      <c r="AP202" s="75"/>
      <c r="AQ202" s="75"/>
      <c r="AR202" s="75"/>
      <c r="AS202" s="75"/>
      <c r="AT202" s="46"/>
      <c r="AU202" s="91"/>
      <c r="AV202" s="91"/>
      <c r="AW202" s="91"/>
      <c r="AX202" s="91"/>
      <c r="AY202" s="91"/>
      <c r="AZ202" s="91"/>
      <c r="BA202" s="91"/>
      <c r="BB202" s="91"/>
      <c r="BC202" s="91"/>
      <c r="BD202" s="91"/>
      <c r="BE202" s="91"/>
      <c r="BF202" s="91"/>
      <c r="BG202" s="46"/>
      <c r="BH202" s="100"/>
      <c r="BI202" s="100"/>
      <c r="BJ202" s="100"/>
      <c r="BK202" s="100"/>
      <c r="BM202" s="46"/>
      <c r="BN202" s="46"/>
      <c r="BO202" s="46"/>
      <c r="BQ202" s="100"/>
      <c r="BR202" s="100"/>
      <c r="BS202" s="100"/>
    </row>
    <row r="203" spans="1:71" s="69" customFormat="1" x14ac:dyDescent="0.35">
      <c r="A203" s="92" t="str">
        <f>'Popis del_fasada'!A132</f>
        <v>3</v>
      </c>
      <c r="B203" s="69" t="s">
        <v>98</v>
      </c>
      <c r="C203" s="72"/>
      <c r="D203" s="72"/>
      <c r="E203" s="72"/>
      <c r="F203" s="71"/>
      <c r="H203" s="72"/>
      <c r="I203" s="72"/>
      <c r="J203" s="72"/>
      <c r="K203" s="72"/>
      <c r="L203" s="72"/>
      <c r="M203" s="72"/>
      <c r="N203" s="72"/>
      <c r="O203" s="72"/>
      <c r="P203" s="72"/>
      <c r="Q203" s="72"/>
      <c r="R203" s="72"/>
      <c r="S203" s="72"/>
      <c r="T203" s="56"/>
      <c r="U203" s="72"/>
      <c r="V203" s="72"/>
      <c r="W203" s="72"/>
      <c r="X203" s="72"/>
      <c r="Z203" s="72"/>
      <c r="AA203" s="72"/>
      <c r="AB203" s="72"/>
      <c r="AJ203" s="72"/>
      <c r="AK203" s="72"/>
      <c r="AL203" s="72"/>
      <c r="AN203" s="89"/>
      <c r="AO203" s="89"/>
      <c r="AP203" s="89"/>
      <c r="AQ203" s="89"/>
      <c r="AR203" s="89"/>
      <c r="AS203" s="89"/>
      <c r="AT203" s="85"/>
      <c r="AU203" s="85"/>
      <c r="AV203" s="85"/>
      <c r="AW203" s="85"/>
      <c r="AX203" s="85"/>
      <c r="AY203" s="85"/>
      <c r="AZ203" s="85"/>
      <c r="BA203" s="85"/>
      <c r="BB203" s="85"/>
      <c r="BC203" s="85"/>
      <c r="BD203" s="85"/>
      <c r="BE203" s="85"/>
      <c r="BF203" s="85"/>
      <c r="BG203" s="85"/>
      <c r="BH203" s="56"/>
      <c r="BI203" s="56"/>
      <c r="BJ203" s="56"/>
      <c r="BK203" s="56"/>
      <c r="BM203" s="71"/>
      <c r="BN203" s="71"/>
      <c r="BQ203" s="56"/>
      <c r="BR203" s="56"/>
      <c r="BS203" s="56"/>
    </row>
    <row r="204" spans="1:71" ht="16.5" x14ac:dyDescent="0.45">
      <c r="B204" s="56" t="s">
        <v>227</v>
      </c>
      <c r="C204" s="56">
        <v>0.82</v>
      </c>
      <c r="D204" s="56">
        <v>0.81</v>
      </c>
      <c r="E204" s="56">
        <v>1</v>
      </c>
      <c r="F204" s="72">
        <f>0.35-0.2</f>
        <v>0.14999999999999997</v>
      </c>
      <c r="G204" s="69"/>
      <c r="AP204" s="72">
        <f t="shared" ref="AP204:AP210" si="13">(C204+2*D204)*E204*F204</f>
        <v>0.36599999999999994</v>
      </c>
      <c r="AT204" s="72"/>
      <c r="BG204" s="72"/>
      <c r="BM204" s="72"/>
      <c r="BN204" s="72"/>
    </row>
    <row r="205" spans="1:71" ht="16.5" x14ac:dyDescent="0.45">
      <c r="B205" s="56" t="s">
        <v>228</v>
      </c>
      <c r="C205" s="56">
        <v>1.5</v>
      </c>
      <c r="D205" s="56">
        <v>1.55</v>
      </c>
      <c r="E205" s="56">
        <v>1</v>
      </c>
      <c r="F205" s="72">
        <f t="shared" ref="F205:F210" si="14">0.35-0.2</f>
        <v>0.14999999999999997</v>
      </c>
      <c r="AP205" s="72">
        <f t="shared" si="13"/>
        <v>0.68999999999999984</v>
      </c>
      <c r="AT205" s="72"/>
      <c r="BG205" s="72"/>
      <c r="BM205" s="72"/>
      <c r="BN205" s="72"/>
    </row>
    <row r="206" spans="1:71" ht="16.5" x14ac:dyDescent="0.45">
      <c r="B206" s="56" t="s">
        <v>229</v>
      </c>
      <c r="C206" s="56">
        <v>0.66</v>
      </c>
      <c r="D206" s="56">
        <v>0.61</v>
      </c>
      <c r="E206" s="56">
        <v>1</v>
      </c>
      <c r="F206" s="72">
        <f t="shared" si="14"/>
        <v>0.14999999999999997</v>
      </c>
      <c r="AP206" s="72">
        <f t="shared" si="13"/>
        <v>0.28199999999999992</v>
      </c>
      <c r="AT206" s="72"/>
      <c r="BG206" s="72"/>
      <c r="BM206" s="72"/>
      <c r="BN206" s="72"/>
    </row>
    <row r="207" spans="1:71" ht="16.5" x14ac:dyDescent="0.45">
      <c r="B207" s="56" t="s">
        <v>230</v>
      </c>
      <c r="C207" s="56">
        <v>0.6</v>
      </c>
      <c r="D207" s="56">
        <v>0.65</v>
      </c>
      <c r="E207" s="56">
        <v>1</v>
      </c>
      <c r="F207" s="72">
        <f t="shared" si="14"/>
        <v>0.14999999999999997</v>
      </c>
      <c r="AP207" s="72">
        <f t="shared" si="13"/>
        <v>0.28499999999999992</v>
      </c>
      <c r="AT207" s="72"/>
      <c r="BG207" s="72"/>
      <c r="BM207" s="72"/>
      <c r="BN207" s="72"/>
    </row>
    <row r="208" spans="1:71" ht="16.5" x14ac:dyDescent="0.45">
      <c r="B208" s="56" t="s">
        <v>231</v>
      </c>
      <c r="C208" s="56">
        <v>0.63</v>
      </c>
      <c r="D208" s="56">
        <v>0.64</v>
      </c>
      <c r="E208" s="56">
        <v>1</v>
      </c>
      <c r="F208" s="72">
        <f t="shared" si="14"/>
        <v>0.14999999999999997</v>
      </c>
      <c r="AP208" s="72">
        <f t="shared" si="13"/>
        <v>0.28649999999999998</v>
      </c>
      <c r="AT208" s="72"/>
      <c r="BG208" s="72"/>
      <c r="BM208" s="72"/>
      <c r="BN208" s="72"/>
    </row>
    <row r="209" spans="1:66" ht="16.5" x14ac:dyDescent="0.45">
      <c r="B209" s="56" t="s">
        <v>232</v>
      </c>
      <c r="C209" s="56">
        <v>1</v>
      </c>
      <c r="D209" s="56">
        <v>2.16</v>
      </c>
      <c r="E209" s="56">
        <v>1</v>
      </c>
      <c r="F209" s="72">
        <f t="shared" si="14"/>
        <v>0.14999999999999997</v>
      </c>
      <c r="AP209" s="72">
        <f t="shared" si="13"/>
        <v>0.79799999999999982</v>
      </c>
      <c r="AT209" s="72"/>
      <c r="BG209" s="72"/>
      <c r="BM209" s="72"/>
      <c r="BN209" s="72"/>
    </row>
    <row r="210" spans="1:66" ht="16.5" x14ac:dyDescent="0.45">
      <c r="B210" s="56" t="s">
        <v>233</v>
      </c>
      <c r="C210" s="56">
        <v>0.72</v>
      </c>
      <c r="D210" s="56">
        <v>2.2599999999999998</v>
      </c>
      <c r="E210" s="56">
        <v>1</v>
      </c>
      <c r="F210" s="72">
        <f t="shared" si="14"/>
        <v>0.14999999999999997</v>
      </c>
      <c r="AP210" s="72">
        <f t="shared" si="13"/>
        <v>0.7859999999999997</v>
      </c>
      <c r="AT210" s="72"/>
      <c r="BG210" s="72"/>
      <c r="BM210" s="72"/>
      <c r="BN210" s="72"/>
    </row>
    <row r="211" spans="1:66" x14ac:dyDescent="0.35">
      <c r="A211" s="92">
        <f>'Popis del_fasada'!A134</f>
        <v>4</v>
      </c>
      <c r="B211" s="69" t="s">
        <v>102</v>
      </c>
      <c r="C211" s="56">
        <f>0.15+10.57+0.15</f>
        <v>10.870000000000001</v>
      </c>
      <c r="D211" s="56">
        <f>D201+D202</f>
        <v>8.7800000000000011</v>
      </c>
      <c r="F211" s="72"/>
      <c r="AH211" s="84"/>
      <c r="AQ211" s="72">
        <f>C211*D211</f>
        <v>95.438600000000022</v>
      </c>
      <c r="AT211" s="72"/>
      <c r="BG211" s="72"/>
      <c r="BM211" s="72"/>
      <c r="BN211" s="72"/>
    </row>
    <row r="212" spans="1:66" x14ac:dyDescent="0.35">
      <c r="A212" s="92">
        <f>'Popis del_fasada'!A136</f>
        <v>5</v>
      </c>
      <c r="B212" s="69" t="s">
        <v>127</v>
      </c>
      <c r="AH212" s="84"/>
      <c r="AT212" s="72"/>
      <c r="BG212" s="72"/>
      <c r="BM212" s="72"/>
      <c r="BN212" s="72"/>
    </row>
    <row r="213" spans="1:66" x14ac:dyDescent="0.35">
      <c r="B213" s="69" t="s">
        <v>171</v>
      </c>
      <c r="C213" s="56">
        <f>2*3.14*0.1</f>
        <v>0.62800000000000011</v>
      </c>
      <c r="D213" s="56">
        <v>2.75</v>
      </c>
      <c r="E213" s="56">
        <v>2</v>
      </c>
      <c r="AH213" s="84"/>
      <c r="AR213" s="72">
        <f>C213*D213*E213</f>
        <v>3.4540000000000006</v>
      </c>
      <c r="AT213" s="72"/>
      <c r="BG213" s="72"/>
      <c r="BM213" s="72"/>
      <c r="BN213" s="72"/>
    </row>
    <row r="214" spans="1:66" x14ac:dyDescent="0.35">
      <c r="B214" s="69"/>
      <c r="C214" s="56">
        <f>2*3.14*0.1</f>
        <v>0.62800000000000011</v>
      </c>
      <c r="D214" s="56">
        <v>1</v>
      </c>
      <c r="E214" s="56">
        <v>1</v>
      </c>
      <c r="AH214" s="84"/>
      <c r="AR214" s="72">
        <f>C214*D214*E214</f>
        <v>0.62800000000000011</v>
      </c>
      <c r="AT214" s="72"/>
      <c r="BG214" s="72"/>
      <c r="BM214" s="72"/>
      <c r="BN214" s="72"/>
    </row>
    <row r="215" spans="1:66" x14ac:dyDescent="0.35">
      <c r="B215" s="69" t="str">
        <f>'Popis del_fasada'!B141</f>
        <v>KLEPARSKA DELA</v>
      </c>
      <c r="C215" s="137"/>
      <c r="D215" s="137"/>
      <c r="E215" s="72"/>
      <c r="F215" s="88"/>
      <c r="AT215" s="72"/>
      <c r="BG215" s="72"/>
      <c r="BM215" s="72"/>
      <c r="BN215" s="72"/>
    </row>
    <row r="216" spans="1:66" x14ac:dyDescent="0.35">
      <c r="A216" s="92">
        <f>'Popis del_fasada'!A143</f>
        <v>1</v>
      </c>
      <c r="B216" s="69" t="s">
        <v>113</v>
      </c>
      <c r="C216" s="137">
        <v>2.81</v>
      </c>
      <c r="D216" s="72"/>
      <c r="E216" s="72"/>
      <c r="F216" s="72"/>
      <c r="AT216" s="72"/>
      <c r="AU216" s="72">
        <f>C216</f>
        <v>2.81</v>
      </c>
      <c r="BG216" s="72"/>
      <c r="BM216" s="72"/>
      <c r="BN216" s="72"/>
    </row>
    <row r="217" spans="1:66" x14ac:dyDescent="0.35">
      <c r="B217" s="69"/>
      <c r="C217" s="137"/>
      <c r="D217" s="72"/>
      <c r="E217" s="72"/>
      <c r="F217" s="72"/>
      <c r="AT217" s="72"/>
      <c r="BG217" s="72"/>
      <c r="BM217" s="72"/>
      <c r="BN217" s="72"/>
    </row>
    <row r="218" spans="1:66" x14ac:dyDescent="0.35">
      <c r="B218" s="69" t="str">
        <f>'Popis del_fasada'!B153</f>
        <v>KERAMIČARSKA DELA</v>
      </c>
      <c r="C218" s="137"/>
      <c r="D218" s="72"/>
      <c r="E218" s="72"/>
      <c r="F218" s="72"/>
      <c r="AT218" s="72"/>
      <c r="BG218" s="72"/>
      <c r="BM218" s="72"/>
      <c r="BN218" s="72"/>
    </row>
    <row r="219" spans="1:66" x14ac:dyDescent="0.35">
      <c r="A219" s="92" t="str">
        <f>'Popis del_fasada'!A155</f>
        <v>1</v>
      </c>
      <c r="B219" s="69" t="s">
        <v>197</v>
      </c>
      <c r="C219" s="99">
        <v>3.24</v>
      </c>
      <c r="D219" s="56">
        <v>1.8</v>
      </c>
      <c r="E219" s="56">
        <v>2</v>
      </c>
      <c r="AH219" s="84"/>
      <c r="BA219" s="72">
        <f>C219*D219*E219</f>
        <v>11.664000000000001</v>
      </c>
      <c r="BH219" s="99"/>
      <c r="BI219" s="99"/>
      <c r="BJ219" s="99"/>
      <c r="BM219" s="72"/>
      <c r="BN219" s="72"/>
    </row>
    <row r="220" spans="1:66" x14ac:dyDescent="0.35">
      <c r="B220" s="69"/>
      <c r="C220" s="99">
        <v>1.1399999999999999</v>
      </c>
      <c r="D220" s="56">
        <v>1.45</v>
      </c>
      <c r="E220" s="56">
        <v>1</v>
      </c>
      <c r="AH220" s="84"/>
      <c r="BA220" s="72">
        <f>C220*D220*E220</f>
        <v>1.6529999999999998</v>
      </c>
      <c r="BH220" s="99"/>
      <c r="BI220" s="99"/>
      <c r="BJ220" s="99"/>
      <c r="BM220" s="72"/>
      <c r="BN220" s="72"/>
    </row>
    <row r="221" spans="1:66" x14ac:dyDescent="0.35">
      <c r="A221" s="92" t="str">
        <f>'Popis del_fasada'!A157</f>
        <v>2</v>
      </c>
      <c r="B221" s="69" t="s">
        <v>131</v>
      </c>
      <c r="C221" s="99">
        <v>3.24</v>
      </c>
      <c r="E221" s="56">
        <v>2</v>
      </c>
      <c r="AH221" s="84"/>
      <c r="BB221" s="72">
        <f>C221*E221</f>
        <v>6.48</v>
      </c>
      <c r="BH221" s="99"/>
      <c r="BI221" s="99"/>
      <c r="BJ221" s="99"/>
      <c r="BM221" s="72"/>
      <c r="BN221" s="72"/>
    </row>
    <row r="222" spans="1:66" x14ac:dyDescent="0.35">
      <c r="A222" s="92" t="str">
        <f>'Popis del_fasada'!A159</f>
        <v>3</v>
      </c>
      <c r="B222" s="69" t="s">
        <v>132</v>
      </c>
      <c r="C222" s="99">
        <v>3.24</v>
      </c>
      <c r="D222" s="56">
        <v>1.8</v>
      </c>
      <c r="E222" s="56">
        <v>2</v>
      </c>
      <c r="AH222" s="84"/>
      <c r="BC222" s="72">
        <f>C222*E222+D222*3</f>
        <v>11.88</v>
      </c>
      <c r="BH222" s="99"/>
      <c r="BI222" s="99"/>
      <c r="BJ222" s="99"/>
      <c r="BM222" s="72"/>
      <c r="BN222" s="72"/>
    </row>
    <row r="223" spans="1:66" x14ac:dyDescent="0.35">
      <c r="A223" s="92" t="str">
        <f>'Popis del_fasada'!A161</f>
        <v>4</v>
      </c>
      <c r="B223" s="69" t="s">
        <v>133</v>
      </c>
      <c r="C223" s="99">
        <f>2.38+2.42</f>
        <v>4.8</v>
      </c>
      <c r="D223" s="56">
        <v>1.45</v>
      </c>
      <c r="AH223" s="84"/>
      <c r="BD223" s="72">
        <f>C223*D223</f>
        <v>6.96</v>
      </c>
      <c r="BH223" s="99"/>
      <c r="BI223" s="99"/>
      <c r="BJ223" s="99"/>
      <c r="BM223" s="72"/>
      <c r="BN223" s="72"/>
    </row>
    <row r="224" spans="1:66" x14ac:dyDescent="0.35">
      <c r="A224" s="92" t="str">
        <f>'Popis del_fasada'!A163</f>
        <v>5</v>
      </c>
      <c r="B224" s="69" t="s">
        <v>198</v>
      </c>
      <c r="C224" s="99">
        <f>2.38+2.42</f>
        <v>4.8</v>
      </c>
      <c r="AH224" s="84"/>
      <c r="BE224" s="72">
        <f>C224</f>
        <v>4.8</v>
      </c>
      <c r="BH224" s="99"/>
      <c r="BI224" s="99"/>
      <c r="BJ224" s="99"/>
      <c r="BM224" s="72"/>
      <c r="BN224" s="72"/>
    </row>
    <row r="225" spans="1:70" x14ac:dyDescent="0.35">
      <c r="A225" s="92" t="str">
        <f>'Popis del_fasada'!A165</f>
        <v>6</v>
      </c>
      <c r="B225" s="69" t="s">
        <v>199</v>
      </c>
      <c r="C225" s="99">
        <v>3.5</v>
      </c>
      <c r="AH225" s="84"/>
      <c r="BF225" s="72">
        <f>C225</f>
        <v>3.5</v>
      </c>
      <c r="BH225" s="99"/>
      <c r="BI225" s="99"/>
      <c r="BJ225" s="99"/>
      <c r="BM225" s="72"/>
      <c r="BN225" s="72"/>
    </row>
    <row r="226" spans="1:70" x14ac:dyDescent="0.35">
      <c r="B226" s="69"/>
      <c r="C226" s="99"/>
      <c r="AH226" s="84"/>
      <c r="BH226" s="99"/>
      <c r="BI226" s="99"/>
      <c r="BJ226" s="99"/>
      <c r="BM226" s="72"/>
      <c r="BN226" s="72"/>
    </row>
    <row r="227" spans="1:70" x14ac:dyDescent="0.35">
      <c r="B227" s="69" t="str">
        <f>'Popis del_fasada'!B171</f>
        <v>SLIKOPLESKARSKA DELA</v>
      </c>
      <c r="C227" s="99"/>
      <c r="AH227" s="84"/>
      <c r="BH227" s="99"/>
      <c r="BI227" s="99"/>
      <c r="BJ227" s="99"/>
      <c r="BM227" s="72"/>
      <c r="BN227" s="72"/>
    </row>
    <row r="228" spans="1:70" x14ac:dyDescent="0.35">
      <c r="A228" s="92">
        <f>'Popis del_fasada'!A173</f>
        <v>1</v>
      </c>
      <c r="B228" s="69" t="s">
        <v>201</v>
      </c>
      <c r="C228" s="99">
        <v>3.24</v>
      </c>
      <c r="D228" s="56">
        <v>1.8</v>
      </c>
      <c r="AH228" s="84"/>
      <c r="BH228" s="99">
        <f>C228*D228</f>
        <v>5.8320000000000007</v>
      </c>
      <c r="BI228" s="99"/>
      <c r="BJ228" s="99"/>
      <c r="BM228" s="72"/>
      <c r="BN228" s="72"/>
    </row>
    <row r="229" spans="1:70" x14ac:dyDescent="0.35">
      <c r="B229" s="69"/>
      <c r="C229" s="99">
        <v>2.5</v>
      </c>
      <c r="D229" s="56">
        <v>0.9</v>
      </c>
      <c r="AH229" s="84"/>
      <c r="BH229" s="99">
        <f>C229*D229</f>
        <v>2.25</v>
      </c>
      <c r="BI229" s="99"/>
      <c r="BJ229" s="99"/>
      <c r="BM229" s="72"/>
      <c r="BN229" s="72"/>
    </row>
    <row r="230" spans="1:70" x14ac:dyDescent="0.35">
      <c r="A230" s="92">
        <f>'Popis del_fasada'!A177</f>
        <v>3</v>
      </c>
      <c r="B230" s="69" t="s">
        <v>134</v>
      </c>
      <c r="C230" s="72">
        <f>11.7</f>
        <v>11.7</v>
      </c>
      <c r="D230" s="56">
        <v>0.6</v>
      </c>
      <c r="AC230" s="84"/>
      <c r="AH230" s="84"/>
      <c r="AT230" s="72"/>
      <c r="BH230" s="99"/>
      <c r="BI230" s="99">
        <f>C230*D230</f>
        <v>7.02</v>
      </c>
      <c r="BJ230" s="99"/>
      <c r="BM230" s="72"/>
      <c r="BN230" s="72"/>
    </row>
    <row r="231" spans="1:70" x14ac:dyDescent="0.35">
      <c r="A231" s="92">
        <f>'Popis del_fasada'!A179</f>
        <v>4</v>
      </c>
      <c r="B231" s="69" t="s">
        <v>176</v>
      </c>
      <c r="C231" s="99"/>
      <c r="D231" s="99"/>
      <c r="E231" s="99"/>
      <c r="AH231" s="84"/>
      <c r="BH231" s="99">
        <f>C231*D231*E231</f>
        <v>0</v>
      </c>
      <c r="BI231" s="99"/>
      <c r="BJ231" s="99"/>
      <c r="BM231" s="72"/>
      <c r="BN231" s="72"/>
    </row>
    <row r="232" spans="1:70" x14ac:dyDescent="0.35">
      <c r="B232" s="70" t="s">
        <v>178</v>
      </c>
      <c r="C232" s="99">
        <v>0.03</v>
      </c>
      <c r="D232" s="99">
        <v>0.03</v>
      </c>
      <c r="E232" s="99">
        <v>3</v>
      </c>
      <c r="F232" s="56">
        <v>2.11</v>
      </c>
      <c r="AH232" s="84"/>
      <c r="BH232" s="99"/>
      <c r="BI232" s="99"/>
      <c r="BJ232" s="99">
        <f>(2*C232+2*D232)*E232*F232</f>
        <v>0.75959999999999994</v>
      </c>
      <c r="BM232" s="72"/>
      <c r="BN232" s="72"/>
    </row>
    <row r="233" spans="1:70" x14ac:dyDescent="0.35">
      <c r="B233" s="70"/>
      <c r="C233" s="99">
        <v>0.03</v>
      </c>
      <c r="D233" s="99">
        <v>0.03</v>
      </c>
      <c r="E233" s="99">
        <v>2</v>
      </c>
      <c r="F233" s="56">
        <v>2.52</v>
      </c>
      <c r="AH233" s="84"/>
      <c r="BH233" s="99"/>
      <c r="BI233" s="99"/>
      <c r="BJ233" s="99">
        <f t="shared" ref="BJ233:BJ236" si="15">(2*C233+2*D233)*E233*F233</f>
        <v>0.6048</v>
      </c>
      <c r="BM233" s="72"/>
      <c r="BN233" s="72"/>
    </row>
    <row r="234" spans="1:70" x14ac:dyDescent="0.35">
      <c r="B234" s="70" t="s">
        <v>179</v>
      </c>
      <c r="C234" s="99">
        <v>0.03</v>
      </c>
      <c r="D234" s="99">
        <v>0.03</v>
      </c>
      <c r="E234" s="99">
        <v>4</v>
      </c>
      <c r="F234" s="56">
        <v>3.24</v>
      </c>
      <c r="AH234" s="84"/>
      <c r="BH234" s="99"/>
      <c r="BI234" s="99"/>
      <c r="BJ234" s="99">
        <f t="shared" si="15"/>
        <v>1.5552000000000001</v>
      </c>
      <c r="BM234" s="72"/>
      <c r="BN234" s="72"/>
    </row>
    <row r="235" spans="1:70" x14ac:dyDescent="0.35">
      <c r="C235" s="99">
        <v>0.03</v>
      </c>
      <c r="D235" s="99">
        <v>0.03</v>
      </c>
      <c r="E235" s="99">
        <v>6</v>
      </c>
      <c r="F235" s="56">
        <v>1.8</v>
      </c>
      <c r="AH235" s="84"/>
      <c r="BH235" s="99"/>
      <c r="BI235" s="99"/>
      <c r="BJ235" s="99">
        <f t="shared" si="15"/>
        <v>1.296</v>
      </c>
      <c r="BM235" s="72"/>
      <c r="BN235" s="72"/>
    </row>
    <row r="236" spans="1:70" x14ac:dyDescent="0.35">
      <c r="C236" s="99">
        <v>0.08</v>
      </c>
      <c r="D236" s="99">
        <v>0.08</v>
      </c>
      <c r="E236" s="99">
        <v>4</v>
      </c>
      <c r="F236" s="56">
        <v>2.2999999999999998</v>
      </c>
      <c r="AH236" s="84"/>
      <c r="BH236" s="99"/>
      <c r="BI236" s="99"/>
      <c r="BJ236" s="99">
        <f t="shared" si="15"/>
        <v>2.944</v>
      </c>
    </row>
    <row r="237" spans="1:70" s="72" customFormat="1" x14ac:dyDescent="0.35">
      <c r="A237" s="92"/>
      <c r="B237" s="69" t="str">
        <f>'Popis del_fasada'!B197</f>
        <v>RAZNA DELA</v>
      </c>
      <c r="C237" s="56"/>
      <c r="D237" s="56"/>
      <c r="E237" s="56"/>
    </row>
    <row r="238" spans="1:70" s="72" customFormat="1" x14ac:dyDescent="0.35">
      <c r="A238" s="92">
        <f>'Popis del_fasada'!A207</f>
        <v>5</v>
      </c>
      <c r="B238" s="69" t="s">
        <v>181</v>
      </c>
      <c r="C238" s="99">
        <v>3.44</v>
      </c>
      <c r="D238" s="99">
        <v>2.2999999999999998</v>
      </c>
      <c r="E238" s="99"/>
      <c r="F238" s="56"/>
      <c r="G238" s="56"/>
      <c r="T238" s="56"/>
      <c r="Y238" s="56"/>
      <c r="AC238" s="56"/>
      <c r="AD238" s="56"/>
      <c r="AE238" s="56"/>
      <c r="AF238" s="56"/>
      <c r="AG238" s="56"/>
      <c r="AH238" s="84"/>
      <c r="AI238" s="56"/>
      <c r="AM238" s="56"/>
      <c r="AT238" s="56"/>
      <c r="BG238" s="56"/>
      <c r="BH238" s="99"/>
      <c r="BI238" s="99"/>
      <c r="BJ238" s="99"/>
      <c r="BK238" s="99"/>
      <c r="BL238" s="84"/>
      <c r="BM238" s="56"/>
      <c r="BN238" s="56"/>
      <c r="BO238" s="56"/>
      <c r="BP238" s="84"/>
      <c r="BQ238" s="99"/>
      <c r="BR238" s="99">
        <f>C238*D238</f>
        <v>7.911999999999999</v>
      </c>
    </row>
    <row r="239" spans="1:70" s="72" customFormat="1" x14ac:dyDescent="0.35">
      <c r="A239" s="92">
        <f>'Popis del_fasada'!A213</f>
        <v>8</v>
      </c>
      <c r="B239" s="69" t="s">
        <v>110</v>
      </c>
      <c r="C239" s="60"/>
      <c r="D239" s="60"/>
      <c r="E239" s="56">
        <v>8</v>
      </c>
      <c r="BQ239" s="72">
        <f>E239</f>
        <v>8</v>
      </c>
    </row>
    <row r="240" spans="1:70" s="72" customFormat="1" x14ac:dyDescent="0.35">
      <c r="A240" s="92"/>
      <c r="C240" s="60"/>
      <c r="D240" s="60"/>
      <c r="E240" s="56"/>
    </row>
    <row r="241" spans="1:27" s="72" customFormat="1" x14ac:dyDescent="0.35">
      <c r="A241" s="92"/>
      <c r="B241" s="87" t="s">
        <v>72</v>
      </c>
    </row>
    <row r="242" spans="1:27" s="72" customFormat="1" x14ac:dyDescent="0.35">
      <c r="A242" s="92"/>
      <c r="B242" s="56"/>
    </row>
    <row r="243" spans="1:27" s="72" customFormat="1" x14ac:dyDescent="0.35">
      <c r="A243" s="92"/>
      <c r="B243" s="69" t="str">
        <f>'Popis del_fasada'!B27</f>
        <v>RUŠITVENA IN ODSTRANITVENA DELA</v>
      </c>
    </row>
    <row r="244" spans="1:27" s="72" customFormat="1" x14ac:dyDescent="0.35">
      <c r="A244" s="92" t="str">
        <f>'Popis del_fasada'!A31</f>
        <v>1</v>
      </c>
      <c r="B244" s="69" t="s">
        <v>152</v>
      </c>
      <c r="C244" s="85"/>
      <c r="D244" s="85"/>
      <c r="E244" s="71"/>
    </row>
    <row r="245" spans="1:27" s="72" customFormat="1" ht="16.5" x14ac:dyDescent="0.45">
      <c r="A245" s="92"/>
      <c r="B245" s="56" t="s">
        <v>220</v>
      </c>
      <c r="C245" s="72">
        <v>1.5</v>
      </c>
      <c r="D245" s="72">
        <v>1.55</v>
      </c>
      <c r="E245" s="56">
        <v>2</v>
      </c>
      <c r="I245" s="72">
        <f>E245</f>
        <v>2</v>
      </c>
      <c r="J245" s="72">
        <f t="shared" ref="J245:J246" si="16">(C245+2*D245)*E245*$C$6</f>
        <v>1.288</v>
      </c>
      <c r="K245" s="72">
        <f t="shared" ref="K245:K246" si="17">C245*E245</f>
        <v>3</v>
      </c>
    </row>
    <row r="246" spans="1:27" s="72" customFormat="1" ht="16.5" x14ac:dyDescent="0.45">
      <c r="A246" s="92"/>
      <c r="B246" s="56" t="s">
        <v>234</v>
      </c>
      <c r="C246" s="56">
        <v>1.46</v>
      </c>
      <c r="D246" s="56">
        <v>1.17</v>
      </c>
      <c r="E246" s="72">
        <v>2</v>
      </c>
      <c r="J246" s="72">
        <f t="shared" si="16"/>
        <v>1.0640000000000001</v>
      </c>
      <c r="K246" s="72">
        <f t="shared" si="17"/>
        <v>2.92</v>
      </c>
    </row>
    <row r="247" spans="1:27" s="72" customFormat="1" x14ac:dyDescent="0.35">
      <c r="A247" s="92" t="str">
        <f>'Popis del_fasada'!A40</f>
        <v>5</v>
      </c>
      <c r="B247" s="69" t="s">
        <v>147</v>
      </c>
      <c r="C247" s="56">
        <v>10.3</v>
      </c>
      <c r="D247" s="56">
        <v>0.5</v>
      </c>
      <c r="M247" s="72">
        <f>C247*D247</f>
        <v>5.15</v>
      </c>
    </row>
    <row r="248" spans="1:27" s="72" customFormat="1" x14ac:dyDescent="0.35">
      <c r="A248" s="92">
        <f>'Popis del_fasada'!A48</f>
        <v>9</v>
      </c>
      <c r="B248" s="69" t="s">
        <v>151</v>
      </c>
      <c r="C248" s="56">
        <f>0.06+10.3+0.06</f>
        <v>10.420000000000002</v>
      </c>
      <c r="D248" s="56"/>
      <c r="N248" s="72">
        <f>C248</f>
        <v>10.420000000000002</v>
      </c>
    </row>
    <row r="249" spans="1:27" s="72" customFormat="1" x14ac:dyDescent="0.35">
      <c r="A249" s="92"/>
      <c r="B249" s="69"/>
      <c r="C249" s="56"/>
      <c r="D249" s="56"/>
    </row>
    <row r="250" spans="1:27" s="72" customFormat="1" x14ac:dyDescent="0.35">
      <c r="A250" s="92"/>
      <c r="B250" s="69" t="str">
        <f>'Popis del_fasada'!B66</f>
        <v>ZEMELJSKA DELA</v>
      </c>
      <c r="C250" s="56"/>
      <c r="D250" s="56"/>
    </row>
    <row r="251" spans="1:27" s="72" customFormat="1" x14ac:dyDescent="0.35">
      <c r="A251" s="92" t="str">
        <f>'Popis del_fasada'!A70</f>
        <v>2</v>
      </c>
      <c r="B251" s="69" t="s">
        <v>76</v>
      </c>
      <c r="C251" s="56">
        <f>0.5+10.3+0.5</f>
        <v>11.3</v>
      </c>
      <c r="D251" s="89">
        <v>0.5</v>
      </c>
      <c r="E251" s="56">
        <v>0.5</v>
      </c>
      <c r="F251" s="53"/>
      <c r="G251" s="53"/>
      <c r="H251" s="90"/>
      <c r="I251" s="90"/>
      <c r="J251" s="74"/>
      <c r="K251" s="74"/>
      <c r="L251" s="74"/>
      <c r="M251" s="90"/>
      <c r="N251" s="74"/>
      <c r="O251" s="74"/>
      <c r="P251" s="74"/>
      <c r="Q251" s="74"/>
      <c r="R251" s="74"/>
      <c r="S251" s="74"/>
      <c r="T251" s="97"/>
      <c r="U251" s="72">
        <f>C251*D251*E251</f>
        <v>2.8250000000000002</v>
      </c>
      <c r="V251" s="90"/>
      <c r="W251" s="90"/>
      <c r="X251" s="90"/>
    </row>
    <row r="252" spans="1:27" s="72" customFormat="1" x14ac:dyDescent="0.35">
      <c r="A252" s="92" t="str">
        <f>'Popis del_fasada'!A76</f>
        <v>5</v>
      </c>
      <c r="B252" s="69" t="s">
        <v>116</v>
      </c>
      <c r="C252" s="56">
        <f>C251</f>
        <v>11.3</v>
      </c>
      <c r="D252" s="89">
        <v>0.4</v>
      </c>
      <c r="E252" s="56">
        <v>0.5</v>
      </c>
      <c r="F252" s="53"/>
      <c r="G252" s="53"/>
      <c r="H252" s="90"/>
      <c r="I252" s="90"/>
      <c r="J252" s="74"/>
      <c r="K252" s="74"/>
      <c r="L252" s="74"/>
      <c r="M252" s="90"/>
      <c r="N252" s="74"/>
      <c r="O252" s="74"/>
      <c r="P252" s="74"/>
      <c r="Q252" s="74"/>
      <c r="R252" s="74"/>
      <c r="S252" s="74"/>
      <c r="T252" s="97"/>
      <c r="U252" s="90"/>
      <c r="V252" s="90"/>
      <c r="W252" s="90"/>
      <c r="X252" s="90">
        <f>C252*D252*E252</f>
        <v>2.2600000000000002</v>
      </c>
    </row>
    <row r="253" spans="1:27" s="72" customFormat="1" x14ac:dyDescent="0.35">
      <c r="A253" s="92"/>
      <c r="B253" s="69"/>
      <c r="C253" s="56"/>
      <c r="D253" s="56"/>
    </row>
    <row r="254" spans="1:27" s="72" customFormat="1" x14ac:dyDescent="0.35">
      <c r="A254" s="92"/>
      <c r="B254" s="70" t="str">
        <f>'Popis del_fasada'!B85</f>
        <v>ZIDARSKA DELA</v>
      </c>
    </row>
    <row r="255" spans="1:27" s="72" customFormat="1" x14ac:dyDescent="0.35">
      <c r="A255" s="92">
        <f>'Popis del_fasada'!A89</f>
        <v>2</v>
      </c>
      <c r="B255" s="70" t="s">
        <v>57</v>
      </c>
      <c r="C255" s="72">
        <v>10.3</v>
      </c>
      <c r="D255" s="72">
        <f>8.48+0.3</f>
        <v>8.7800000000000011</v>
      </c>
      <c r="Z255" s="72">
        <f>C255*D255</f>
        <v>90.434000000000012</v>
      </c>
    </row>
    <row r="256" spans="1:27" s="72" customFormat="1" x14ac:dyDescent="0.35">
      <c r="A256" s="92">
        <f>'Popis del_fasada'!A91</f>
        <v>3</v>
      </c>
      <c r="B256" s="69" t="s">
        <v>104</v>
      </c>
      <c r="C256" s="72">
        <v>10.3</v>
      </c>
      <c r="D256" s="56">
        <v>0.6</v>
      </c>
      <c r="E256" s="56"/>
      <c r="F256" s="56"/>
      <c r="G256" s="56"/>
      <c r="T256" s="56"/>
      <c r="Y256" s="56"/>
      <c r="AA256" s="72">
        <f>C256*D256</f>
        <v>6.1800000000000006</v>
      </c>
    </row>
    <row r="257" spans="1:43" s="72" customFormat="1" x14ac:dyDescent="0.35">
      <c r="A257" s="92">
        <f>'Popis del_fasada'!A95</f>
        <v>5</v>
      </c>
      <c r="B257" s="69" t="s">
        <v>108</v>
      </c>
    </row>
    <row r="258" spans="1:43" s="72" customFormat="1" ht="16.5" x14ac:dyDescent="0.45">
      <c r="A258" s="92"/>
      <c r="B258" s="56" t="s">
        <v>220</v>
      </c>
      <c r="C258" s="72">
        <v>1.5</v>
      </c>
      <c r="D258" s="72">
        <v>1.55</v>
      </c>
      <c r="E258" s="56">
        <v>2</v>
      </c>
      <c r="AC258" s="56">
        <f t="shared" ref="AC258:AC259" si="18">(0.05+C258+0.05)*E258</f>
        <v>3.2</v>
      </c>
    </row>
    <row r="259" spans="1:43" s="72" customFormat="1" ht="16.5" x14ac:dyDescent="0.45">
      <c r="A259" s="92"/>
      <c r="B259" s="56" t="s">
        <v>234</v>
      </c>
      <c r="C259" s="56">
        <v>1.46</v>
      </c>
      <c r="D259" s="56">
        <v>1.17</v>
      </c>
      <c r="E259" s="72">
        <v>2</v>
      </c>
      <c r="AC259" s="56">
        <f t="shared" si="18"/>
        <v>3.12</v>
      </c>
    </row>
    <row r="260" spans="1:43" s="72" customFormat="1" x14ac:dyDescent="0.35">
      <c r="A260" s="92"/>
      <c r="B260" s="56"/>
      <c r="C260" s="56"/>
      <c r="D260" s="56"/>
    </row>
    <row r="261" spans="1:43" s="72" customFormat="1" x14ac:dyDescent="0.35">
      <c r="A261" s="92"/>
      <c r="B261" s="69" t="str">
        <f>'Popis del_fasada'!B111</f>
        <v>TESARSKA DELA</v>
      </c>
      <c r="C261" s="56"/>
      <c r="D261" s="56"/>
    </row>
    <row r="262" spans="1:43" s="72" customFormat="1" x14ac:dyDescent="0.35">
      <c r="A262" s="92" t="str">
        <f>'Popis del_fasada'!A113</f>
        <v>1</v>
      </c>
      <c r="B262" s="69" t="s">
        <v>21</v>
      </c>
      <c r="C262" s="72">
        <f>0.8+0.3+10.3+0.3+0.8</f>
        <v>12.500000000000002</v>
      </c>
      <c r="D262" s="72">
        <f>8.48-0.8</f>
        <v>7.6800000000000006</v>
      </c>
      <c r="E262" s="56"/>
      <c r="AJ262" s="72">
        <f>C262*D262</f>
        <v>96.000000000000014</v>
      </c>
    </row>
    <row r="263" spans="1:43" s="72" customFormat="1" x14ac:dyDescent="0.35">
      <c r="A263" s="92"/>
      <c r="B263" s="69"/>
    </row>
    <row r="264" spans="1:43" s="72" customFormat="1" x14ac:dyDescent="0.35">
      <c r="A264" s="92"/>
      <c r="B264" s="69" t="str">
        <f>'Popis del_fasada'!B123</f>
        <v>FASADERSKA DELA</v>
      </c>
    </row>
    <row r="265" spans="1:43" s="72" customFormat="1" x14ac:dyDescent="0.35">
      <c r="A265" s="92" t="str">
        <f>'Popis del_fasada'!A128</f>
        <v>1</v>
      </c>
      <c r="B265" s="69" t="s">
        <v>169</v>
      </c>
      <c r="C265" s="72">
        <f>0.15+10.3+0.15</f>
        <v>10.600000000000001</v>
      </c>
      <c r="D265" s="90">
        <v>1</v>
      </c>
      <c r="AN265" s="72">
        <f>C265*D265</f>
        <v>10.600000000000001</v>
      </c>
    </row>
    <row r="266" spans="1:43" s="72" customFormat="1" x14ac:dyDescent="0.35">
      <c r="A266" s="92" t="str">
        <f>'Popis del_fasada'!A130</f>
        <v>2</v>
      </c>
      <c r="B266" s="69" t="s">
        <v>97</v>
      </c>
      <c r="C266" s="72">
        <f>0.15+10.3+0.15</f>
        <v>10.600000000000001</v>
      </c>
      <c r="D266" s="72">
        <f>8.48-1</f>
        <v>7.48</v>
      </c>
      <c r="AO266" s="72">
        <f>C266*D266</f>
        <v>79.288000000000011</v>
      </c>
    </row>
    <row r="267" spans="1:43" s="72" customFormat="1" x14ac:dyDescent="0.35">
      <c r="A267" s="92" t="str">
        <f>'Popis del_fasada'!A132</f>
        <v>3</v>
      </c>
      <c r="B267" s="69" t="s">
        <v>98</v>
      </c>
    </row>
    <row r="268" spans="1:43" s="72" customFormat="1" ht="16.5" x14ac:dyDescent="0.45">
      <c r="A268" s="92"/>
      <c r="B268" s="56" t="s">
        <v>220</v>
      </c>
      <c r="C268" s="72">
        <v>1.5</v>
      </c>
      <c r="D268" s="72">
        <v>1.55</v>
      </c>
      <c r="E268" s="56">
        <v>2</v>
      </c>
      <c r="F268" s="72">
        <f t="shared" ref="F268:F269" si="19">0.35-0.2</f>
        <v>0.14999999999999997</v>
      </c>
      <c r="AP268" s="72">
        <f t="shared" ref="AP268:AP269" si="20">(C268+2*D268)*E268*F268</f>
        <v>1.3799999999999997</v>
      </c>
    </row>
    <row r="269" spans="1:43" s="72" customFormat="1" ht="16.5" x14ac:dyDescent="0.45">
      <c r="A269" s="92"/>
      <c r="B269" s="56" t="s">
        <v>234</v>
      </c>
      <c r="C269" s="56">
        <v>1.46</v>
      </c>
      <c r="D269" s="56">
        <v>1.17</v>
      </c>
      <c r="E269" s="72">
        <v>2</v>
      </c>
      <c r="F269" s="72">
        <f t="shared" si="19"/>
        <v>0.14999999999999997</v>
      </c>
      <c r="AP269" s="72">
        <f t="shared" si="20"/>
        <v>1.1399999999999997</v>
      </c>
    </row>
    <row r="270" spans="1:43" s="72" customFormat="1" x14ac:dyDescent="0.35">
      <c r="A270" s="92"/>
      <c r="B270" s="56"/>
      <c r="E270" s="56"/>
    </row>
    <row r="271" spans="1:43" s="72" customFormat="1" x14ac:dyDescent="0.35">
      <c r="A271" s="92">
        <f>'Popis del_fasada'!A134</f>
        <v>4</v>
      </c>
      <c r="B271" s="69" t="s">
        <v>102</v>
      </c>
      <c r="C271" s="72">
        <f>0.15+10.3+0.15</f>
        <v>10.600000000000001</v>
      </c>
      <c r="D271" s="72">
        <f>D265+D266</f>
        <v>8.48</v>
      </c>
      <c r="E271" s="56"/>
      <c r="AQ271" s="72">
        <f>C271*D271</f>
        <v>89.888000000000019</v>
      </c>
    </row>
    <row r="272" spans="1:43" s="72" customFormat="1" x14ac:dyDescent="0.35">
      <c r="A272" s="92"/>
      <c r="B272" s="56"/>
      <c r="E272" s="56"/>
    </row>
    <row r="273" spans="1:61" s="72" customFormat="1" x14ac:dyDescent="0.35">
      <c r="A273" s="92"/>
      <c r="B273" s="70" t="str">
        <f>'Popis del_fasada'!B171</f>
        <v>SLIKOPLESKARSKA DELA</v>
      </c>
      <c r="E273" s="56"/>
    </row>
    <row r="274" spans="1:61" s="72" customFormat="1" x14ac:dyDescent="0.35">
      <c r="A274" s="92">
        <f>'Popis del_fasada'!A177</f>
        <v>3</v>
      </c>
      <c r="B274" s="69" t="s">
        <v>134</v>
      </c>
      <c r="C274" s="72">
        <v>11.48</v>
      </c>
      <c r="D274" s="56">
        <v>0.6</v>
      </c>
      <c r="E274" s="56"/>
      <c r="BI274" s="99">
        <f>C274*D274</f>
        <v>6.8879999999999999</v>
      </c>
    </row>
    <row r="275" spans="1:61" s="72" customFormat="1" x14ac:dyDescent="0.35">
      <c r="A275" s="92"/>
      <c r="B275" s="56"/>
      <c r="E275" s="56"/>
    </row>
    <row r="276" spans="1:61" x14ac:dyDescent="0.35">
      <c r="B276" s="87" t="s">
        <v>210</v>
      </c>
    </row>
    <row r="277" spans="1:61" x14ac:dyDescent="0.35">
      <c r="B277" s="93"/>
    </row>
    <row r="278" spans="1:61" x14ac:dyDescent="0.35">
      <c r="B278" s="143" t="str">
        <f>'Popis del_fasada'!B27</f>
        <v>RUŠITVENA IN ODSTRANITVENA DELA</v>
      </c>
    </row>
    <row r="279" spans="1:61" x14ac:dyDescent="0.35">
      <c r="A279" s="92">
        <f>'Popis del_fasada'!A62</f>
        <v>16</v>
      </c>
      <c r="B279" s="143" t="s">
        <v>215</v>
      </c>
      <c r="C279" s="56">
        <f>10.57-0.4</f>
        <v>10.17</v>
      </c>
      <c r="D279" s="56">
        <f>10.28-0.4</f>
        <v>9.879999999999999</v>
      </c>
      <c r="S279" s="72">
        <f>C279*D279</f>
        <v>100.47959999999999</v>
      </c>
    </row>
    <row r="280" spans="1:61" x14ac:dyDescent="0.35">
      <c r="B280" s="93"/>
    </row>
    <row r="281" spans="1:61" x14ac:dyDescent="0.35">
      <c r="B281" s="143" t="str">
        <f>'Popis del_fasada'!B85</f>
        <v>ZIDARSKA DELA</v>
      </c>
    </row>
    <row r="282" spans="1:61" x14ac:dyDescent="0.35">
      <c r="A282" s="92">
        <f>'Popis del_fasada'!A103</f>
        <v>14</v>
      </c>
      <c r="B282" s="69" t="s">
        <v>213</v>
      </c>
      <c r="C282" s="56">
        <f>10.57-0.4</f>
        <v>10.17</v>
      </c>
      <c r="D282" s="56">
        <f>10.28-0.4</f>
        <v>9.879999999999999</v>
      </c>
      <c r="AH282" s="167">
        <f>C282*D282</f>
        <v>100.47959999999999</v>
      </c>
    </row>
    <row r="284" spans="1:61" x14ac:dyDescent="0.35">
      <c r="B284" s="69" t="str">
        <f>'Popis del_fasada'!B197</f>
        <v>RAZNA DELA</v>
      </c>
    </row>
    <row r="285" spans="1:61" x14ac:dyDescent="0.35">
      <c r="A285" s="92">
        <f>'Popis del_fasada'!A230</f>
        <v>16</v>
      </c>
      <c r="B285" s="69" t="s">
        <v>212</v>
      </c>
      <c r="C285" s="56">
        <f>10.17+9.88</f>
        <v>20.05</v>
      </c>
      <c r="D285" s="56">
        <v>1.2</v>
      </c>
      <c r="AG285" s="56">
        <f>C285*D285</f>
        <v>24.06</v>
      </c>
    </row>
    <row r="287" spans="1:61" x14ac:dyDescent="0.35">
      <c r="B287" s="70"/>
    </row>
    <row r="288" spans="1:61" x14ac:dyDescent="0.35">
      <c r="B288" s="69"/>
    </row>
    <row r="291" spans="1:71" x14ac:dyDescent="0.35">
      <c r="B291" s="93"/>
    </row>
    <row r="292" spans="1:71" s="70" customFormat="1" x14ac:dyDescent="0.35">
      <c r="A292" s="92"/>
      <c r="D292" s="94" t="s">
        <v>2</v>
      </c>
      <c r="E292" s="95"/>
      <c r="F292" s="95"/>
      <c r="G292" s="95"/>
      <c r="H292" s="96">
        <f>ROUND(SUM(H3:H291)*$C$7,2)</f>
        <v>0</v>
      </c>
      <c r="I292" s="96">
        <f>ROUND(SUM(I3:I291),2)</f>
        <v>10</v>
      </c>
      <c r="J292" s="96">
        <f>ROUND(SUM(J3:J291),2)</f>
        <v>13.12</v>
      </c>
      <c r="K292" s="96">
        <f>ROUND(SUM(K3:K291),2)</f>
        <v>24.74</v>
      </c>
      <c r="L292" s="96">
        <f t="shared" ref="L292:S292" si="21">ROUND(SUM(L3:L291)*$C$7,2)</f>
        <v>24.66</v>
      </c>
      <c r="M292" s="96">
        <f t="shared" si="21"/>
        <v>19.36</v>
      </c>
      <c r="N292" s="96">
        <f t="shared" si="21"/>
        <v>27.01</v>
      </c>
      <c r="O292" s="96">
        <f t="shared" si="21"/>
        <v>0.18</v>
      </c>
      <c r="P292" s="96">
        <f t="shared" si="21"/>
        <v>14.36</v>
      </c>
      <c r="Q292" s="96">
        <f t="shared" si="21"/>
        <v>16.649999999999999</v>
      </c>
      <c r="R292" s="96">
        <f t="shared" si="21"/>
        <v>18.96</v>
      </c>
      <c r="S292" s="96">
        <f t="shared" si="21"/>
        <v>105.5</v>
      </c>
      <c r="T292" s="96">
        <f>ROUND(SUM(T3:T291),2)</f>
        <v>0</v>
      </c>
      <c r="U292" s="96">
        <f>ROUND(SUM(U3:U291)*$C$7,2)</f>
        <v>8.81</v>
      </c>
      <c r="V292" s="96">
        <f>ROUND(SUM(V3:V291)*$C$7,2)</f>
        <v>5.8</v>
      </c>
      <c r="W292" s="96">
        <f>ROUND(SUM(W3:W291)*$C$7,2)</f>
        <v>5.8</v>
      </c>
      <c r="X292" s="96">
        <f>ROUND(SUM(X3:X291)*$C$7,2)</f>
        <v>7.05</v>
      </c>
      <c r="Y292" s="96">
        <f>ROUND(SUM(Y3:Y291),2)</f>
        <v>0</v>
      </c>
      <c r="Z292" s="158">
        <f t="shared" ref="Z292:AL292" si="22">ROUND(SUM(Z3:Z291)*$C$7,2)</f>
        <v>374.72</v>
      </c>
      <c r="AA292" s="158">
        <f t="shared" si="22"/>
        <v>19.309999999999999</v>
      </c>
      <c r="AB292" s="158">
        <f t="shared" si="22"/>
        <v>44.41</v>
      </c>
      <c r="AC292" s="96">
        <f t="shared" si="22"/>
        <v>25.75</v>
      </c>
      <c r="AD292" s="96">
        <f t="shared" si="22"/>
        <v>32.049999999999997</v>
      </c>
      <c r="AE292" s="96">
        <f t="shared" si="22"/>
        <v>3.8</v>
      </c>
      <c r="AF292" s="96">
        <f t="shared" si="22"/>
        <v>0.35</v>
      </c>
      <c r="AG292" s="96">
        <f t="shared" si="22"/>
        <v>25.26</v>
      </c>
      <c r="AH292" s="96">
        <f t="shared" si="22"/>
        <v>105.5</v>
      </c>
      <c r="AI292" s="96">
        <f t="shared" si="22"/>
        <v>0</v>
      </c>
      <c r="AJ292" s="158">
        <f t="shared" si="22"/>
        <v>406.24</v>
      </c>
      <c r="AK292" s="158">
        <f t="shared" si="22"/>
        <v>4.2</v>
      </c>
      <c r="AL292" s="158">
        <f t="shared" si="22"/>
        <v>11.91</v>
      </c>
      <c r="AM292" s="96">
        <f>ROUND(SUM(AM3:AM291),2)</f>
        <v>0</v>
      </c>
      <c r="AN292" s="158">
        <f t="shared" ref="AN292:BL292" si="23">ROUND(SUM(AN3:AN291)*$C$7,2)</f>
        <v>38.47</v>
      </c>
      <c r="AO292" s="158">
        <f t="shared" si="23"/>
        <v>335.97</v>
      </c>
      <c r="AP292" s="158">
        <f t="shared" si="23"/>
        <v>13.65</v>
      </c>
      <c r="AQ292" s="158">
        <f t="shared" si="23"/>
        <v>391.41</v>
      </c>
      <c r="AR292" s="158">
        <f t="shared" si="23"/>
        <v>8.57</v>
      </c>
      <c r="AS292" s="158">
        <f t="shared" si="23"/>
        <v>0</v>
      </c>
      <c r="AT292" s="158">
        <f t="shared" si="23"/>
        <v>0</v>
      </c>
      <c r="AU292" s="96">
        <f t="shared" si="23"/>
        <v>24.72</v>
      </c>
      <c r="AV292" s="96">
        <f t="shared" si="23"/>
        <v>3.65</v>
      </c>
      <c r="AW292" s="96">
        <f t="shared" si="23"/>
        <v>2.63</v>
      </c>
      <c r="AX292" s="96">
        <f t="shared" si="23"/>
        <v>3.32</v>
      </c>
      <c r="AY292" s="96">
        <f t="shared" si="23"/>
        <v>0</v>
      </c>
      <c r="AZ292" s="96">
        <f t="shared" si="23"/>
        <v>0</v>
      </c>
      <c r="BA292" s="96">
        <f t="shared" si="23"/>
        <v>27.97</v>
      </c>
      <c r="BB292" s="96">
        <f t="shared" si="23"/>
        <v>13.61</v>
      </c>
      <c r="BC292" s="96">
        <f t="shared" si="23"/>
        <v>24.95</v>
      </c>
      <c r="BD292" s="96">
        <f t="shared" si="23"/>
        <v>14.62</v>
      </c>
      <c r="BE292" s="96">
        <f t="shared" si="23"/>
        <v>10.08</v>
      </c>
      <c r="BF292" s="96">
        <f t="shared" si="23"/>
        <v>7.35</v>
      </c>
      <c r="BG292" s="96">
        <f t="shared" si="23"/>
        <v>0</v>
      </c>
      <c r="BH292" s="96">
        <f t="shared" si="23"/>
        <v>16.97</v>
      </c>
      <c r="BI292" s="96">
        <f t="shared" si="23"/>
        <v>29.22</v>
      </c>
      <c r="BJ292" s="96">
        <f t="shared" si="23"/>
        <v>15.04</v>
      </c>
      <c r="BK292" s="96">
        <f t="shared" si="23"/>
        <v>0</v>
      </c>
      <c r="BL292" s="96">
        <f t="shared" si="23"/>
        <v>0</v>
      </c>
      <c r="BM292" s="96">
        <f>ROUND(SUM(BM3:BM291),2)</f>
        <v>0</v>
      </c>
      <c r="BN292" s="96">
        <f>ROUND(SUM(BN3:BN291),2)</f>
        <v>0</v>
      </c>
      <c r="BO292" s="96">
        <f>ROUND(SUM(BO3:BO291),2)</f>
        <v>0</v>
      </c>
      <c r="BP292" s="96">
        <f>ROUND(SUM(BP3:BP291)*$C$7,2)</f>
        <v>0</v>
      </c>
      <c r="BQ292" s="96">
        <f>ROUND(SUM(BQ3:BQ291),2)</f>
        <v>20</v>
      </c>
      <c r="BR292" s="96">
        <f>ROUND(SUM(BR3:BR291)*$C$7,2)</f>
        <v>16.62</v>
      </c>
      <c r="BS292" s="96">
        <f>ROUND(SUM(BS3:BS291)*$C$7,2)</f>
        <v>0</v>
      </c>
    </row>
    <row r="304" spans="1:71" x14ac:dyDescent="0.35">
      <c r="W304" s="168"/>
    </row>
    <row r="305" spans="1:58" x14ac:dyDescent="0.35">
      <c r="W305" s="168"/>
    </row>
    <row r="306" spans="1:58" x14ac:dyDescent="0.35">
      <c r="A306" s="56"/>
      <c r="H306" s="56"/>
      <c r="I306" s="56"/>
      <c r="J306" s="56"/>
      <c r="K306" s="56"/>
      <c r="L306" s="56"/>
      <c r="M306" s="56"/>
      <c r="N306" s="56"/>
      <c r="O306" s="56"/>
      <c r="P306" s="56"/>
      <c r="Q306" s="56"/>
      <c r="R306" s="56"/>
      <c r="S306" s="56"/>
      <c r="U306" s="56"/>
      <c r="V306" s="56"/>
      <c r="W306" s="168"/>
      <c r="X306" s="56"/>
      <c r="Z306" s="56"/>
      <c r="AA306" s="56"/>
      <c r="AB306" s="56"/>
      <c r="AH306" s="56"/>
      <c r="AJ306" s="56"/>
      <c r="AK306" s="56"/>
      <c r="AL306" s="56"/>
      <c r="AN306" s="56"/>
      <c r="AO306" s="56"/>
      <c r="AP306" s="56"/>
      <c r="AQ306" s="56"/>
      <c r="AR306" s="56"/>
      <c r="AS306" s="56"/>
      <c r="AU306" s="56"/>
      <c r="AV306" s="56"/>
      <c r="AW306" s="56"/>
      <c r="AX306" s="56"/>
      <c r="AY306" s="56"/>
      <c r="AZ306" s="56"/>
      <c r="BA306" s="56"/>
      <c r="BB306" s="56"/>
      <c r="BC306" s="56"/>
      <c r="BD306" s="56"/>
      <c r="BE306" s="56"/>
      <c r="BF306" s="56"/>
    </row>
    <row r="307" spans="1:58" x14ac:dyDescent="0.35">
      <c r="A307" s="56"/>
      <c r="H307" s="56"/>
      <c r="I307" s="56"/>
      <c r="J307" s="56"/>
      <c r="K307" s="56"/>
      <c r="L307" s="56"/>
      <c r="M307" s="56"/>
      <c r="N307" s="56"/>
      <c r="O307" s="56"/>
      <c r="P307" s="56"/>
      <c r="Q307" s="56"/>
      <c r="R307" s="56"/>
      <c r="S307" s="56"/>
      <c r="U307" s="56"/>
      <c r="V307" s="56"/>
      <c r="W307" s="168"/>
      <c r="X307" s="56"/>
      <c r="Z307" s="56"/>
      <c r="AA307" s="56"/>
      <c r="AB307" s="56"/>
      <c r="AH307" s="56"/>
      <c r="AJ307" s="56"/>
      <c r="AK307" s="56"/>
      <c r="AL307" s="56"/>
      <c r="AN307" s="56"/>
      <c r="AO307" s="56"/>
      <c r="AP307" s="56"/>
      <c r="AQ307" s="56"/>
      <c r="AR307" s="56"/>
      <c r="AS307" s="56"/>
      <c r="AU307" s="56"/>
      <c r="AV307" s="56"/>
      <c r="AW307" s="56"/>
      <c r="AX307" s="56"/>
      <c r="AY307" s="56"/>
      <c r="AZ307" s="56"/>
      <c r="BA307" s="56"/>
      <c r="BB307" s="56"/>
      <c r="BC307" s="56"/>
      <c r="BD307" s="56"/>
      <c r="BE307" s="56"/>
      <c r="BF307" s="56"/>
    </row>
    <row r="308" spans="1:58" x14ac:dyDescent="0.35">
      <c r="A308" s="56"/>
      <c r="H308" s="56"/>
      <c r="I308" s="56"/>
      <c r="J308" s="56"/>
      <c r="K308" s="56"/>
      <c r="L308" s="56"/>
      <c r="M308" s="56"/>
      <c r="N308" s="56"/>
      <c r="O308" s="56"/>
      <c r="P308" s="56"/>
      <c r="Q308" s="56"/>
      <c r="R308" s="56"/>
      <c r="S308" s="56"/>
      <c r="U308" s="56"/>
      <c r="V308" s="56"/>
      <c r="W308" s="168"/>
      <c r="X308" s="56"/>
      <c r="Z308" s="56"/>
      <c r="AA308" s="56"/>
      <c r="AB308" s="56"/>
      <c r="AH308" s="56"/>
      <c r="AJ308" s="56"/>
      <c r="AK308" s="56"/>
      <c r="AL308" s="56"/>
      <c r="AN308" s="56"/>
      <c r="AO308" s="56"/>
      <c r="AP308" s="56"/>
      <c r="AQ308" s="56"/>
      <c r="AR308" s="56"/>
      <c r="AS308" s="56"/>
      <c r="AU308" s="56"/>
      <c r="AV308" s="56"/>
      <c r="AW308" s="56"/>
      <c r="AX308" s="56"/>
      <c r="AY308" s="56"/>
      <c r="AZ308" s="56"/>
      <c r="BA308" s="56"/>
      <c r="BB308" s="56"/>
      <c r="BC308" s="56"/>
      <c r="BD308" s="56"/>
      <c r="BE308" s="56"/>
      <c r="BF308" s="56"/>
    </row>
    <row r="309" spans="1:58" x14ac:dyDescent="0.35">
      <c r="A309" s="56"/>
      <c r="H309" s="56"/>
      <c r="I309" s="56"/>
      <c r="J309" s="56"/>
      <c r="K309" s="56"/>
      <c r="L309" s="56"/>
      <c r="M309" s="56"/>
      <c r="N309" s="56"/>
      <c r="O309" s="56"/>
      <c r="P309" s="56"/>
      <c r="Q309" s="56"/>
      <c r="R309" s="56"/>
      <c r="S309" s="56"/>
      <c r="U309" s="56"/>
      <c r="V309" s="56"/>
      <c r="W309" s="168"/>
      <c r="X309" s="56"/>
      <c r="Z309" s="56"/>
      <c r="AA309" s="56"/>
      <c r="AB309" s="56"/>
      <c r="AH309" s="56"/>
      <c r="AJ309" s="56"/>
      <c r="AK309" s="56"/>
      <c r="AL309" s="56"/>
      <c r="AN309" s="56"/>
      <c r="AO309" s="56"/>
      <c r="AP309" s="56"/>
      <c r="AQ309" s="56"/>
      <c r="AR309" s="56"/>
      <c r="AS309" s="56"/>
      <c r="AU309" s="56"/>
      <c r="AV309" s="56"/>
      <c r="AW309" s="56"/>
      <c r="AX309" s="56"/>
      <c r="AY309" s="56"/>
      <c r="AZ309" s="56"/>
      <c r="BA309" s="56"/>
      <c r="BB309" s="56"/>
      <c r="BC309" s="56"/>
      <c r="BD309" s="56"/>
      <c r="BE309" s="56"/>
      <c r="BF309" s="56"/>
    </row>
    <row r="310" spans="1:58" x14ac:dyDescent="0.35">
      <c r="A310" s="56"/>
      <c r="H310" s="56"/>
      <c r="I310" s="56"/>
      <c r="J310" s="56"/>
      <c r="K310" s="56"/>
      <c r="L310" s="56"/>
      <c r="M310" s="56"/>
      <c r="N310" s="56"/>
      <c r="O310" s="56"/>
      <c r="P310" s="56"/>
      <c r="Q310" s="56"/>
      <c r="R310" s="56"/>
      <c r="S310" s="56"/>
      <c r="U310" s="56"/>
      <c r="V310" s="56"/>
      <c r="W310" s="168"/>
      <c r="X310" s="56"/>
      <c r="Z310" s="56"/>
      <c r="AA310" s="56"/>
      <c r="AB310" s="56"/>
      <c r="AH310" s="56"/>
      <c r="AJ310" s="56"/>
      <c r="AK310" s="56"/>
      <c r="AL310" s="56"/>
      <c r="AN310" s="56"/>
      <c r="AO310" s="56"/>
      <c r="AP310" s="56"/>
      <c r="AQ310" s="56"/>
      <c r="AR310" s="56"/>
      <c r="AS310" s="56"/>
      <c r="AU310" s="56"/>
      <c r="AV310" s="56"/>
      <c r="AW310" s="56"/>
      <c r="AX310" s="56"/>
      <c r="AY310" s="56"/>
      <c r="AZ310" s="56"/>
      <c r="BA310" s="56"/>
      <c r="BB310" s="56"/>
      <c r="BC310" s="56"/>
      <c r="BD310" s="56"/>
      <c r="BE310" s="56"/>
      <c r="BF310" s="56"/>
    </row>
    <row r="311" spans="1:58" x14ac:dyDescent="0.35">
      <c r="A311" s="56"/>
      <c r="H311" s="56"/>
      <c r="I311" s="56"/>
      <c r="J311" s="56"/>
      <c r="K311" s="56"/>
      <c r="L311" s="56"/>
      <c r="M311" s="56"/>
      <c r="N311" s="56"/>
      <c r="O311" s="56"/>
      <c r="P311" s="56"/>
      <c r="Q311" s="56"/>
      <c r="R311" s="56"/>
      <c r="S311" s="56"/>
      <c r="U311" s="56"/>
      <c r="V311" s="56"/>
      <c r="W311" s="168"/>
      <c r="X311" s="56"/>
      <c r="Z311" s="56"/>
      <c r="AA311" s="56"/>
      <c r="AB311" s="56"/>
      <c r="AH311" s="56"/>
      <c r="AJ311" s="56"/>
      <c r="AK311" s="56"/>
      <c r="AL311" s="56"/>
      <c r="AN311" s="56"/>
      <c r="AO311" s="56"/>
      <c r="AP311" s="56"/>
      <c r="AQ311" s="56"/>
      <c r="AR311" s="56"/>
      <c r="AS311" s="56"/>
      <c r="AU311" s="56"/>
      <c r="AV311" s="56"/>
      <c r="AW311" s="56"/>
      <c r="AX311" s="56"/>
      <c r="AY311" s="56"/>
      <c r="AZ311" s="56"/>
      <c r="BA311" s="56"/>
      <c r="BB311" s="56"/>
      <c r="BC311" s="56"/>
      <c r="BD311" s="56"/>
      <c r="BE311" s="56"/>
      <c r="BF311" s="56"/>
    </row>
  </sheetData>
  <mergeCells count="11">
    <mergeCell ref="BQ2:BS2"/>
    <mergeCell ref="AU2:AY2"/>
    <mergeCell ref="BH2:BK2"/>
    <mergeCell ref="A1:B1"/>
    <mergeCell ref="AN2:AS2"/>
    <mergeCell ref="U2:X2"/>
    <mergeCell ref="Z2:AH2"/>
    <mergeCell ref="BA2:BF2"/>
    <mergeCell ref="H2:S2"/>
    <mergeCell ref="AJ2:AL2"/>
    <mergeCell ref="BM2:BO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0"/>
  <sheetViews>
    <sheetView workbookViewId="0">
      <selection activeCell="D51" sqref="D51"/>
    </sheetView>
  </sheetViews>
  <sheetFormatPr defaultColWidth="9.1796875" defaultRowHeight="14.5" x14ac:dyDescent="0.35"/>
  <cols>
    <col min="1" max="1" width="9.1796875" style="67"/>
    <col min="2" max="2" width="30.1796875" style="49" bestFit="1" customWidth="1"/>
    <col min="3" max="3" width="16.7265625" style="60" bestFit="1" customWidth="1"/>
    <col min="4" max="4" width="22.7265625" style="60" bestFit="1" customWidth="1"/>
    <col min="5" max="5" width="16.26953125" style="60" bestFit="1" customWidth="1"/>
    <col min="6" max="7" width="9.1796875" style="60"/>
    <col min="8" max="10" width="9.1796875" style="49"/>
    <col min="11" max="11" width="22.54296875" style="49" customWidth="1"/>
    <col min="12" max="16384" width="9.1796875" style="49"/>
  </cols>
  <sheetData>
    <row r="2" spans="1:6" x14ac:dyDescent="0.35">
      <c r="C2" s="60" t="s">
        <v>47</v>
      </c>
      <c r="D2" s="60" t="s">
        <v>86</v>
      </c>
      <c r="E2" s="60" t="s">
        <v>48</v>
      </c>
    </row>
    <row r="5" spans="1:6" x14ac:dyDescent="0.35">
      <c r="A5" s="50">
        <v>1</v>
      </c>
      <c r="B5" s="48" t="s">
        <v>84</v>
      </c>
      <c r="C5" s="61">
        <f>SUM(C6:C8)</f>
        <v>108.87100000000001</v>
      </c>
      <c r="D5" s="61"/>
      <c r="E5" s="61">
        <f>C5*0.8</f>
        <v>87.096800000000016</v>
      </c>
      <c r="F5" s="60">
        <f>E5*3</f>
        <v>261.29040000000003</v>
      </c>
    </row>
    <row r="6" spans="1:6" x14ac:dyDescent="0.35">
      <c r="C6" s="60">
        <f>10.3*10.57</f>
        <v>108.87100000000001</v>
      </c>
    </row>
    <row r="10" spans="1:6" x14ac:dyDescent="0.35">
      <c r="A10" s="50">
        <v>2</v>
      </c>
      <c r="B10" s="48" t="s">
        <v>46</v>
      </c>
      <c r="C10" s="61">
        <f>SUM(C11:C26)</f>
        <v>124.92080000000001</v>
      </c>
      <c r="D10" s="61">
        <f>SUM(D11:D21)</f>
        <v>80.589999999999989</v>
      </c>
      <c r="E10" s="61">
        <f>E9*2.64</f>
        <v>0</v>
      </c>
    </row>
    <row r="11" spans="1:6" x14ac:dyDescent="0.35">
      <c r="A11" s="50"/>
      <c r="B11" s="48"/>
      <c r="C11" s="60">
        <f>(12.4*9.48)</f>
        <v>117.55200000000001</v>
      </c>
      <c r="D11" s="60">
        <v>4.7</v>
      </c>
      <c r="E11" s="61"/>
    </row>
    <row r="12" spans="1:6" x14ac:dyDescent="0.35">
      <c r="A12" s="50"/>
      <c r="B12" s="48"/>
      <c r="C12" s="60">
        <f>(4.88*1.51)</f>
        <v>7.3688000000000002</v>
      </c>
      <c r="D12" s="60">
        <v>2.5499999999999998</v>
      </c>
      <c r="E12" s="61"/>
    </row>
    <row r="13" spans="1:6" x14ac:dyDescent="0.35">
      <c r="A13" s="50"/>
      <c r="B13" s="48"/>
      <c r="D13" s="60">
        <v>7.5</v>
      </c>
      <c r="E13" s="61"/>
    </row>
    <row r="14" spans="1:6" x14ac:dyDescent="0.35">
      <c r="A14" s="50"/>
      <c r="B14" s="48"/>
      <c r="D14" s="60">
        <v>0.9</v>
      </c>
      <c r="E14" s="61"/>
    </row>
    <row r="15" spans="1:6" x14ac:dyDescent="0.35">
      <c r="A15" s="50"/>
      <c r="B15" s="48"/>
      <c r="D15" s="60">
        <v>4.5</v>
      </c>
      <c r="E15" s="61"/>
    </row>
    <row r="16" spans="1:6" x14ac:dyDescent="0.35">
      <c r="A16" s="50"/>
      <c r="B16" s="48"/>
      <c r="D16" s="60">
        <v>19.95</v>
      </c>
      <c r="E16" s="61"/>
    </row>
    <row r="17" spans="1:5" x14ac:dyDescent="0.35">
      <c r="A17" s="50"/>
      <c r="B17" s="48"/>
      <c r="D17" s="60">
        <v>13.95</v>
      </c>
      <c r="E17" s="61"/>
    </row>
    <row r="18" spans="1:5" x14ac:dyDescent="0.35">
      <c r="A18" s="50"/>
      <c r="B18" s="48"/>
      <c r="D18" s="60">
        <v>15.52</v>
      </c>
      <c r="E18" s="61"/>
    </row>
    <row r="19" spans="1:5" x14ac:dyDescent="0.35">
      <c r="A19" s="50"/>
      <c r="B19" s="48"/>
      <c r="D19" s="60">
        <v>11.02</v>
      </c>
      <c r="E19" s="61"/>
    </row>
    <row r="20" spans="1:5" x14ac:dyDescent="0.35">
      <c r="A20" s="50"/>
      <c r="B20" s="48"/>
      <c r="E20" s="61"/>
    </row>
    <row r="21" spans="1:5" x14ac:dyDescent="0.35">
      <c r="A21" s="50"/>
      <c r="B21" s="48"/>
      <c r="E21" s="61"/>
    </row>
    <row r="22" spans="1:5" x14ac:dyDescent="0.35">
      <c r="A22" s="50"/>
      <c r="B22" s="48"/>
      <c r="E22" s="61"/>
    </row>
    <row r="23" spans="1:5" x14ac:dyDescent="0.35">
      <c r="A23" s="50"/>
      <c r="B23" s="48"/>
      <c r="E23" s="61"/>
    </row>
    <row r="24" spans="1:5" x14ac:dyDescent="0.35">
      <c r="A24" s="50"/>
      <c r="B24" s="48"/>
      <c r="E24" s="61"/>
    </row>
    <row r="25" spans="1:5" x14ac:dyDescent="0.35">
      <c r="A25" s="50"/>
      <c r="B25" s="48"/>
      <c r="E25" s="61"/>
    </row>
    <row r="26" spans="1:5" x14ac:dyDescent="0.35">
      <c r="A26" s="50"/>
      <c r="B26" s="48"/>
      <c r="C26" s="61"/>
      <c r="D26" s="61"/>
      <c r="E26" s="61"/>
    </row>
    <row r="27" spans="1:5" x14ac:dyDescent="0.35">
      <c r="A27" s="50">
        <v>3</v>
      </c>
      <c r="B27" s="48" t="s">
        <v>49</v>
      </c>
      <c r="C27" s="61">
        <f>SUM(C28:C28)</f>
        <v>274.61095200000005</v>
      </c>
      <c r="D27" s="61"/>
      <c r="E27" s="61">
        <f>E10</f>
        <v>0</v>
      </c>
    </row>
    <row r="28" spans="1:5" x14ac:dyDescent="0.35">
      <c r="A28" s="50"/>
      <c r="B28" s="48"/>
      <c r="C28" s="60">
        <f>(10.89*9.48)*2.66</f>
        <v>274.61095200000005</v>
      </c>
      <c r="E28" s="61"/>
    </row>
    <row r="29" spans="1:5" x14ac:dyDescent="0.35">
      <c r="A29" s="50"/>
      <c r="B29" s="48"/>
      <c r="C29" s="61"/>
      <c r="D29" s="61"/>
      <c r="E29" s="61"/>
    </row>
    <row r="30" spans="1:5" x14ac:dyDescent="0.35">
      <c r="A30" s="50">
        <v>4</v>
      </c>
      <c r="B30" s="48" t="s">
        <v>85</v>
      </c>
      <c r="C30" s="61">
        <f>SUM(C31:C31)</f>
        <v>169.82519400000004</v>
      </c>
      <c r="D30" s="61"/>
      <c r="E30" s="61">
        <f>E26</f>
        <v>0</v>
      </c>
    </row>
    <row r="31" spans="1:5" x14ac:dyDescent="0.35">
      <c r="A31" s="50"/>
      <c r="B31" s="48"/>
      <c r="C31" s="60">
        <f>(10.89*9.48)*(3.29/2)</f>
        <v>169.82519400000004</v>
      </c>
      <c r="E31" s="61"/>
    </row>
    <row r="33" spans="1:6" x14ac:dyDescent="0.35">
      <c r="B33" s="62" t="s">
        <v>50</v>
      </c>
      <c r="C33" s="63">
        <f>C10+C27+C30</f>
        <v>569.35694600000011</v>
      </c>
      <c r="D33" s="63">
        <f>D10+D27+D30</f>
        <v>80.589999999999989</v>
      </c>
      <c r="E33" s="64">
        <f>C33*0.8</f>
        <v>455.4855568000001</v>
      </c>
    </row>
    <row r="35" spans="1:6" x14ac:dyDescent="0.35">
      <c r="C35" s="65" t="s">
        <v>51</v>
      </c>
      <c r="D35" s="63"/>
      <c r="E35" s="66"/>
    </row>
    <row r="38" spans="1:6" x14ac:dyDescent="0.35">
      <c r="A38" s="50" t="s">
        <v>53</v>
      </c>
      <c r="B38" s="48" t="s">
        <v>52</v>
      </c>
      <c r="C38" s="68" t="s">
        <v>44</v>
      </c>
      <c r="D38" s="68" t="s">
        <v>43</v>
      </c>
      <c r="E38" s="134" t="s">
        <v>87</v>
      </c>
    </row>
    <row r="39" spans="1:6" x14ac:dyDescent="0.35">
      <c r="B39" s="49" t="s">
        <v>55</v>
      </c>
    </row>
    <row r="41" spans="1:6" x14ac:dyDescent="0.35">
      <c r="F41" s="61"/>
    </row>
    <row r="42" spans="1:6" x14ac:dyDescent="0.35">
      <c r="F42" s="61"/>
    </row>
    <row r="43" spans="1:6" x14ac:dyDescent="0.35">
      <c r="B43" s="49" t="s">
        <v>56</v>
      </c>
      <c r="C43" s="60">
        <v>10.28</v>
      </c>
      <c r="D43" s="60">
        <v>8.48</v>
      </c>
      <c r="E43" s="60">
        <f>C43*D43</f>
        <v>87.174400000000006</v>
      </c>
      <c r="F43" s="61"/>
    </row>
    <row r="46" spans="1:6" x14ac:dyDescent="0.35">
      <c r="E46" s="61">
        <f>SUM(E43:E45)</f>
        <v>87.174400000000006</v>
      </c>
    </row>
    <row r="48" spans="1:6" x14ac:dyDescent="0.35">
      <c r="B48" s="49" t="s">
        <v>69</v>
      </c>
      <c r="C48" s="60">
        <v>10.43</v>
      </c>
      <c r="D48" s="60">
        <v>8.48</v>
      </c>
      <c r="E48" s="61">
        <f>C48*D48</f>
        <v>88.446399999999997</v>
      </c>
      <c r="F48" s="61"/>
    </row>
    <row r="49" spans="1:11" x14ac:dyDescent="0.35">
      <c r="K49" s="131" t="s">
        <v>82</v>
      </c>
    </row>
    <row r="51" spans="1:11" x14ac:dyDescent="0.35">
      <c r="B51" s="49" t="s">
        <v>88</v>
      </c>
      <c r="E51" s="61"/>
      <c r="K51" s="49">
        <v>3.5999999999999997E-2</v>
      </c>
    </row>
    <row r="52" spans="1:11" x14ac:dyDescent="0.35">
      <c r="K52" s="49">
        <v>0.14000000000000001</v>
      </c>
    </row>
    <row r="53" spans="1:11" x14ac:dyDescent="0.35">
      <c r="K53" s="132">
        <f>K51/K52</f>
        <v>0.25714285714285712</v>
      </c>
    </row>
    <row r="55" spans="1:11" x14ac:dyDescent="0.35">
      <c r="C55" s="60">
        <v>41.19</v>
      </c>
      <c r="K55" s="49">
        <v>3.5999999999999997E-2</v>
      </c>
    </row>
    <row r="56" spans="1:11" x14ac:dyDescent="0.35">
      <c r="C56" s="60">
        <v>14.59</v>
      </c>
      <c r="K56" s="49">
        <v>0.14000000000000001</v>
      </c>
    </row>
    <row r="57" spans="1:11" x14ac:dyDescent="0.35">
      <c r="C57" s="60">
        <v>41.19</v>
      </c>
      <c r="K57" s="132">
        <f>K55/K56</f>
        <v>0.25714285714285712</v>
      </c>
    </row>
    <row r="58" spans="1:11" x14ac:dyDescent="0.35">
      <c r="B58" s="60">
        <f>18.82</f>
        <v>18.82</v>
      </c>
      <c r="C58" s="60">
        <f>SUM(C55:C57)</f>
        <v>96.97</v>
      </c>
      <c r="E58" s="60">
        <f>B58*C58</f>
        <v>1824.9754</v>
      </c>
    </row>
    <row r="60" spans="1:11" x14ac:dyDescent="0.35">
      <c r="A60" s="50" t="s">
        <v>63</v>
      </c>
      <c r="B60" s="48" t="s">
        <v>64</v>
      </c>
    </row>
    <row r="61" spans="1:11" x14ac:dyDescent="0.35">
      <c r="B61" s="48" t="s">
        <v>89</v>
      </c>
    </row>
    <row r="62" spans="1:11" ht="16.5" x14ac:dyDescent="0.45">
      <c r="B62" s="55" t="s">
        <v>59</v>
      </c>
      <c r="C62" s="135">
        <f>1.35*1.35*4</f>
        <v>7.2900000000000009</v>
      </c>
      <c r="D62" s="55"/>
      <c r="E62" s="55"/>
      <c r="F62" s="45"/>
    </row>
    <row r="63" spans="1:11" x14ac:dyDescent="0.35">
      <c r="B63" s="55"/>
      <c r="C63" s="55"/>
      <c r="D63" s="55"/>
      <c r="E63" s="55"/>
      <c r="F63" s="45"/>
    </row>
    <row r="64" spans="1:11" x14ac:dyDescent="0.35">
      <c r="B64" s="55"/>
      <c r="C64" s="55" t="s">
        <v>90</v>
      </c>
      <c r="D64" s="55">
        <v>0.7</v>
      </c>
      <c r="E64" s="55">
        <f>D64*0.85</f>
        <v>0.59499999999999997</v>
      </c>
      <c r="F64" s="45"/>
    </row>
    <row r="65" spans="2:7" x14ac:dyDescent="0.35">
      <c r="B65" s="55"/>
      <c r="C65" s="55" t="s">
        <v>91</v>
      </c>
      <c r="D65" s="55">
        <v>0.9</v>
      </c>
      <c r="E65" s="55">
        <f>D65*0.15</f>
        <v>0.13500000000000001</v>
      </c>
      <c r="F65" s="45"/>
    </row>
    <row r="66" spans="2:7" x14ac:dyDescent="0.35">
      <c r="B66" s="55"/>
      <c r="C66" s="55"/>
      <c r="D66" s="55"/>
      <c r="E66" s="55">
        <f>SUM(E64:E65)</f>
        <v>0.73</v>
      </c>
      <c r="F66" s="45"/>
    </row>
    <row r="68" spans="2:7" x14ac:dyDescent="0.35">
      <c r="G68" s="61">
        <f>SUM(G62:G67)</f>
        <v>0</v>
      </c>
    </row>
    <row r="69" spans="2:7" x14ac:dyDescent="0.35">
      <c r="B69" s="62" t="s">
        <v>65</v>
      </c>
      <c r="C69" s="63"/>
      <c r="D69" s="63"/>
      <c r="E69" s="63"/>
      <c r="F69" s="63"/>
      <c r="G69" s="64"/>
    </row>
    <row r="71" spans="2:7" x14ac:dyDescent="0.35">
      <c r="B71" s="48" t="s">
        <v>77</v>
      </c>
    </row>
    <row r="73" spans="2:7" ht="16.5" x14ac:dyDescent="0.45">
      <c r="B73" s="55" t="s">
        <v>59</v>
      </c>
      <c r="C73" s="55">
        <f>1.86-2*0.02</f>
        <v>1.82</v>
      </c>
      <c r="D73" s="55"/>
      <c r="E73" s="55">
        <f>1.67-2*0.02</f>
        <v>1.63</v>
      </c>
      <c r="F73" s="45">
        <f>5+1</f>
        <v>6</v>
      </c>
      <c r="G73" s="60">
        <f>C73*E73*F73</f>
        <v>17.799600000000002</v>
      </c>
    </row>
    <row r="74" spans="2:7" ht="16.5" x14ac:dyDescent="0.45">
      <c r="B74" s="55" t="s">
        <v>61</v>
      </c>
      <c r="C74" s="55">
        <f>1.46-2*0.02</f>
        <v>1.42</v>
      </c>
      <c r="D74" s="55"/>
      <c r="E74" s="55">
        <f>1.67-2*0.02</f>
        <v>1.63</v>
      </c>
      <c r="F74" s="45">
        <v>5</v>
      </c>
      <c r="G74" s="60">
        <f t="shared" ref="G74:G75" si="0">C74*E74*F74</f>
        <v>11.572999999999997</v>
      </c>
    </row>
    <row r="75" spans="2:7" ht="16.5" x14ac:dyDescent="0.45">
      <c r="B75" s="55" t="s">
        <v>62</v>
      </c>
      <c r="C75" s="55">
        <f>1.06-2*0.02</f>
        <v>1.02</v>
      </c>
      <c r="D75" s="55"/>
      <c r="E75" s="55">
        <f>1.67-2*0.02</f>
        <v>1.63</v>
      </c>
      <c r="F75" s="45">
        <f>1*5+2</f>
        <v>7</v>
      </c>
      <c r="G75" s="60">
        <f t="shared" si="0"/>
        <v>11.638199999999999</v>
      </c>
    </row>
    <row r="76" spans="2:7" ht="16.5" x14ac:dyDescent="0.45">
      <c r="B76" s="55" t="s">
        <v>67</v>
      </c>
      <c r="C76" s="60">
        <f>0.66-2*0.02</f>
        <v>0.62</v>
      </c>
      <c r="E76" s="60">
        <f>0.66-2*0.02</f>
        <v>0.62</v>
      </c>
      <c r="F76" s="45">
        <f>1*5</f>
        <v>5</v>
      </c>
      <c r="G76" s="60">
        <f t="shared" ref="G76:G77" si="1">C76*E76*F76</f>
        <v>1.9220000000000002</v>
      </c>
    </row>
    <row r="77" spans="2:7" ht="16.5" x14ac:dyDescent="0.45">
      <c r="B77" s="55" t="s">
        <v>68</v>
      </c>
      <c r="C77" s="60">
        <v>2.1</v>
      </c>
      <c r="E77" s="60">
        <v>2.46</v>
      </c>
      <c r="F77" s="45">
        <v>5</v>
      </c>
      <c r="G77" s="60">
        <f t="shared" si="1"/>
        <v>25.830000000000002</v>
      </c>
    </row>
    <row r="78" spans="2:7" x14ac:dyDescent="0.35">
      <c r="B78" s="55"/>
      <c r="F78" s="45"/>
    </row>
    <row r="79" spans="2:7" x14ac:dyDescent="0.35">
      <c r="G79" s="61">
        <f>SUM(G72:G78)</f>
        <v>68.762799999999999</v>
      </c>
    </row>
    <row r="80" spans="2:7" x14ac:dyDescent="0.35">
      <c r="B80" s="62" t="s">
        <v>65</v>
      </c>
      <c r="C80" s="63"/>
      <c r="D80" s="63"/>
      <c r="E80" s="63"/>
      <c r="F80" s="63"/>
      <c r="G80" s="64" t="e">
        <f>1-(G79/F41)</f>
        <v>#DIV/0!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Popis del_fasada</vt:lpstr>
      <vt:lpstr>Izračuni_pred izmere</vt:lpstr>
      <vt:lpstr>Karakteristike objekta</vt:lpstr>
      <vt:lpstr>'Popis del_fasada'!Print_Area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Valburga 62, Smlednik</dc:title>
  <dc:creator>sparrow</dc:creator>
  <cp:lastModifiedBy>ekona</cp:lastModifiedBy>
  <cp:lastPrinted>2017-07-08T08:36:51Z</cp:lastPrinted>
  <dcterms:created xsi:type="dcterms:W3CDTF">2010-05-19T21:12:42Z</dcterms:created>
  <dcterms:modified xsi:type="dcterms:W3CDTF">2018-05-16T15:05:57Z</dcterms:modified>
</cp:coreProperties>
</file>