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/>
  <mc:AlternateContent xmlns:mc="http://schemas.openxmlformats.org/markup-compatibility/2006">
    <mc:Choice Requires="x15">
      <x15ac:absPath xmlns:x15ac="http://schemas.microsoft.com/office/spreadsheetml/2010/11/ac" url="O:\Dokumenti\KOMUNALNO_OPREMLJANJE\OPPN 251 - Stanovanja Zadobrova\JN_gradnja\Gradivo za objavo\"/>
    </mc:Choice>
  </mc:AlternateContent>
  <xr:revisionPtr revIDLastSave="0" documentId="13_ncr:1_{45DEB3BF-2031-4757-8216-D32F637F583F}" xr6:coauthVersionLast="36" xr6:coauthVersionMax="47" xr10:uidLastSave="{00000000-0000-0000-0000-000000000000}"/>
  <bookViews>
    <workbookView xWindow="28095" yWindow="1665" windowWidth="34365" windowHeight="18645" tabRatio="878" activeTab="1" xr2:uid="{00000000-000D-0000-FFFF-FFFF00000000}"/>
  </bookViews>
  <sheets>
    <sheet name="REKAPITULACIJA" sheetId="43" r:id="rId1"/>
    <sheet name="Sončna pot" sheetId="71" r:id="rId2"/>
    <sheet name="Javna cesta" sheetId="72" r:id="rId3"/>
    <sheet name="IZKOPI" sheetId="58" state="hidden" r:id="rId4"/>
  </sheets>
  <definedNames>
    <definedName name="_xlnm.Print_Area" localSheetId="2">'Javna cesta'!$A$1:$F$114</definedName>
    <definedName name="_xlnm.Print_Area" localSheetId="0">REKAPITULACIJA!$A$1:$E$25</definedName>
    <definedName name="_xlnm.Print_Area" localSheetId="1">'Sončna pot'!$A$1:$F$108</definedName>
    <definedName name="_xlnm.Print_Titles" localSheetId="2">'Javna cesta'!$14:$14</definedName>
    <definedName name="_xlnm.Print_Titles" localSheetId="1">'Sončna pot'!$13:$13</definedName>
  </definedNames>
  <calcPr calcId="191029"/>
</workbook>
</file>

<file path=xl/calcChain.xml><?xml version="1.0" encoding="utf-8"?>
<calcChain xmlns="http://schemas.openxmlformats.org/spreadsheetml/2006/main">
  <c r="F74" i="72" l="1"/>
  <c r="D50" i="72" l="1"/>
  <c r="F89" i="71"/>
  <c r="F80" i="72" l="1"/>
  <c r="F82" i="72"/>
  <c r="F85" i="71"/>
  <c r="F87" i="71"/>
  <c r="F92" i="71" s="1"/>
  <c r="F84" i="72" l="1"/>
  <c r="F104" i="72"/>
  <c r="F102" i="72"/>
  <c r="F100" i="72" l="1"/>
  <c r="F98" i="72"/>
  <c r="F96" i="72"/>
  <c r="F94" i="72"/>
  <c r="F106" i="72" l="1"/>
  <c r="F88" i="72"/>
  <c r="F90" i="72" s="1"/>
  <c r="F8" i="72"/>
  <c r="G80" i="72"/>
  <c r="G72" i="72"/>
  <c r="F72" i="72"/>
  <c r="F68" i="72"/>
  <c r="F64" i="72"/>
  <c r="G56" i="72"/>
  <c r="F56" i="72"/>
  <c r="G54" i="72"/>
  <c r="F54" i="72"/>
  <c r="F50" i="72"/>
  <c r="F46" i="72"/>
  <c r="F40" i="72"/>
  <c r="G36" i="72"/>
  <c r="F36" i="72"/>
  <c r="F26" i="72"/>
  <c r="F24" i="72"/>
  <c r="F22" i="72"/>
  <c r="H12" i="72"/>
  <c r="F79" i="71"/>
  <c r="F96" i="71"/>
  <c r="F8" i="71"/>
  <c r="G77" i="71"/>
  <c r="F77" i="71"/>
  <c r="F73" i="71"/>
  <c r="F69" i="71"/>
  <c r="G61" i="71"/>
  <c r="F61" i="71"/>
  <c r="G59" i="71"/>
  <c r="F59" i="71"/>
  <c r="F55" i="71"/>
  <c r="F49" i="71"/>
  <c r="F43" i="71"/>
  <c r="G41" i="71"/>
  <c r="F41" i="71"/>
  <c r="F31" i="71"/>
  <c r="F29" i="71"/>
  <c r="F27" i="71"/>
  <c r="G25" i="71"/>
  <c r="F25" i="71"/>
  <c r="F23" i="71"/>
  <c r="F21" i="71"/>
  <c r="H11" i="71"/>
  <c r="G21" i="71" s="1"/>
  <c r="F76" i="72" l="1"/>
  <c r="F81" i="71"/>
  <c r="F7" i="71" s="1"/>
  <c r="F7" i="72"/>
  <c r="F10" i="72"/>
  <c r="F28" i="72"/>
  <c r="F5" i="72" s="1"/>
  <c r="F9" i="72"/>
  <c r="F44" i="72"/>
  <c r="F38" i="72"/>
  <c r="F45" i="71"/>
  <c r="F51" i="71"/>
  <c r="F33" i="71"/>
  <c r="F5" i="71" s="1"/>
  <c r="F98" i="71"/>
  <c r="B191" i="58"/>
  <c r="K180" i="58"/>
  <c r="F183" i="58"/>
  <c r="F185" i="58"/>
  <c r="G185" i="58" s="1"/>
  <c r="F186" i="58"/>
  <c r="H186" i="58" s="1"/>
  <c r="H192" i="58" s="1"/>
  <c r="K175" i="58"/>
  <c r="E175" i="58"/>
  <c r="D192" i="58"/>
  <c r="K192" i="58"/>
  <c r="C192" i="58"/>
  <c r="C189" i="58"/>
  <c r="D188" i="58"/>
  <c r="C188" i="58"/>
  <c r="D191" i="58"/>
  <c r="C191" i="58"/>
  <c r="D176" i="58"/>
  <c r="C176" i="58"/>
  <c r="F176" i="58" s="1"/>
  <c r="G176" i="58" s="1"/>
  <c r="I176" i="58" s="1"/>
  <c r="B176" i="58"/>
  <c r="K176" i="58" s="1"/>
  <c r="K189" i="58" s="1"/>
  <c r="D177" i="58"/>
  <c r="J177" i="58" s="1"/>
  <c r="C177" i="58"/>
  <c r="F177" i="58" s="1"/>
  <c r="H177" i="58" s="1"/>
  <c r="B177" i="58"/>
  <c r="K177" i="58" s="1"/>
  <c r="E178" i="58"/>
  <c r="F178" i="58"/>
  <c r="G178" i="58" s="1"/>
  <c r="I178" i="58" s="1"/>
  <c r="K178" i="58"/>
  <c r="D172" i="58"/>
  <c r="J172" i="58" s="1"/>
  <c r="C172" i="58"/>
  <c r="F172" i="58" s="1"/>
  <c r="H172" i="58" s="1"/>
  <c r="B172" i="58"/>
  <c r="K172" i="58" s="1"/>
  <c r="K173" i="58"/>
  <c r="J173" i="58"/>
  <c r="F173" i="58"/>
  <c r="H173" i="58" s="1"/>
  <c r="E173" i="58"/>
  <c r="D167" i="58"/>
  <c r="C167" i="58"/>
  <c r="F167" i="58" s="1"/>
  <c r="H167" i="58" s="1"/>
  <c r="B167" i="58"/>
  <c r="K167" i="58" s="1"/>
  <c r="K168" i="58"/>
  <c r="J168" i="58"/>
  <c r="F168" i="58"/>
  <c r="H168" i="58" s="1"/>
  <c r="E168" i="58"/>
  <c r="D169" i="58"/>
  <c r="J169" i="58" s="1"/>
  <c r="C169" i="58"/>
  <c r="F169" i="58" s="1"/>
  <c r="G169" i="58" s="1"/>
  <c r="I169" i="58" s="1"/>
  <c r="B169" i="58"/>
  <c r="K169" i="58" s="1"/>
  <c r="K170" i="58"/>
  <c r="J170" i="58"/>
  <c r="F170" i="58"/>
  <c r="G170" i="58" s="1"/>
  <c r="I170" i="58" s="1"/>
  <c r="E170" i="58"/>
  <c r="D181" i="58"/>
  <c r="J181" i="58" s="1"/>
  <c r="C181" i="58"/>
  <c r="F181" i="58" s="1"/>
  <c r="G181" i="58" s="1"/>
  <c r="I181" i="58" s="1"/>
  <c r="B181" i="58"/>
  <c r="K181" i="58" s="1"/>
  <c r="K182" i="58"/>
  <c r="J182" i="58"/>
  <c r="F182" i="58"/>
  <c r="H182" i="58" s="1"/>
  <c r="E182" i="58"/>
  <c r="J186" i="58"/>
  <c r="J192" i="58" s="1"/>
  <c r="E186" i="58"/>
  <c r="E192" i="58" s="1"/>
  <c r="E185" i="58"/>
  <c r="J185" i="58"/>
  <c r="K185" i="58"/>
  <c r="K165" i="58"/>
  <c r="K166" i="58"/>
  <c r="K171" i="58"/>
  <c r="K174" i="58"/>
  <c r="K183" i="58"/>
  <c r="K164" i="58"/>
  <c r="J183" i="58"/>
  <c r="J165" i="58"/>
  <c r="J166" i="58"/>
  <c r="J171" i="58"/>
  <c r="J174" i="58"/>
  <c r="J175" i="58"/>
  <c r="J180" i="58"/>
  <c r="J164" i="58"/>
  <c r="F165" i="58"/>
  <c r="H165" i="58" s="1"/>
  <c r="F166" i="58"/>
  <c r="H166" i="58" s="1"/>
  <c r="F171" i="58"/>
  <c r="H171" i="58" s="1"/>
  <c r="F174" i="58"/>
  <c r="H174" i="58" s="1"/>
  <c r="F175" i="58"/>
  <c r="G175" i="58" s="1"/>
  <c r="I175" i="58" s="1"/>
  <c r="F180" i="58"/>
  <c r="G180" i="58" s="1"/>
  <c r="I180" i="58" s="1"/>
  <c r="H183" i="58"/>
  <c r="F164" i="58"/>
  <c r="H164" i="58" s="1"/>
  <c r="E165" i="58"/>
  <c r="E166" i="58"/>
  <c r="E171" i="58"/>
  <c r="E174" i="58"/>
  <c r="E180" i="58"/>
  <c r="E183" i="58"/>
  <c r="E164" i="58"/>
  <c r="E20" i="58"/>
  <c r="F20" i="58" s="1"/>
  <c r="G20" i="58"/>
  <c r="H20" i="58" s="1"/>
  <c r="J20" i="58" s="1"/>
  <c r="L12" i="58"/>
  <c r="E12" i="58"/>
  <c r="D12" i="58"/>
  <c r="D3" i="58" s="1"/>
  <c r="F16" i="58"/>
  <c r="H17" i="58"/>
  <c r="J17" i="58" s="1"/>
  <c r="H14" i="58"/>
  <c r="J14" i="58" s="1"/>
  <c r="H13" i="58"/>
  <c r="J13" i="58" s="1"/>
  <c r="H11" i="58"/>
  <c r="J11" i="58" s="1"/>
  <c r="G15" i="58"/>
  <c r="K17" i="58"/>
  <c r="I17" i="58"/>
  <c r="F17" i="58"/>
  <c r="G19" i="58"/>
  <c r="G9" i="58"/>
  <c r="K10" i="58"/>
  <c r="K19" i="58"/>
  <c r="F19" i="58"/>
  <c r="K14" i="58"/>
  <c r="I14" i="58"/>
  <c r="F14" i="58"/>
  <c r="K13" i="58"/>
  <c r="F13" i="58"/>
  <c r="I12" i="58"/>
  <c r="K11" i="58"/>
  <c r="I11" i="58"/>
  <c r="F11" i="58"/>
  <c r="K8" i="58"/>
  <c r="G8" i="58"/>
  <c r="F8" i="58"/>
  <c r="K9" i="58"/>
  <c r="K15" i="58"/>
  <c r="K16" i="58"/>
  <c r="K18" i="58"/>
  <c r="F18" i="58"/>
  <c r="I18" i="58"/>
  <c r="I16" i="58"/>
  <c r="F15" i="58"/>
  <c r="G26" i="58"/>
  <c r="H26" i="58"/>
  <c r="J26" i="58" s="1"/>
  <c r="G28" i="58"/>
  <c r="H28" i="58"/>
  <c r="G30" i="58"/>
  <c r="H30" i="58"/>
  <c r="G32" i="58"/>
  <c r="H32" i="58"/>
  <c r="G34" i="58"/>
  <c r="H34" i="58"/>
  <c r="G36" i="58"/>
  <c r="H36" i="58"/>
  <c r="G38" i="58"/>
  <c r="H38" i="58"/>
  <c r="G40" i="58"/>
  <c r="H40" i="58"/>
  <c r="G42" i="58"/>
  <c r="H42" i="58"/>
  <c r="G44" i="58"/>
  <c r="H44" i="58"/>
  <c r="G46" i="58"/>
  <c r="H46" i="58"/>
  <c r="G48" i="58"/>
  <c r="H48" i="58"/>
  <c r="G50" i="58"/>
  <c r="H50" i="58"/>
  <c r="G52" i="58"/>
  <c r="H52" i="58"/>
  <c r="G54" i="58"/>
  <c r="H54" i="58"/>
  <c r="G56" i="58"/>
  <c r="H56" i="58"/>
  <c r="G58" i="58"/>
  <c r="H58" i="58"/>
  <c r="G60" i="58"/>
  <c r="H60" i="58"/>
  <c r="G62" i="58"/>
  <c r="H62" i="58"/>
  <c r="G64" i="58"/>
  <c r="H64" i="58"/>
  <c r="E66" i="58"/>
  <c r="G66" i="58" s="1"/>
  <c r="H66" i="58"/>
  <c r="H69" i="58" s="1"/>
  <c r="F69" i="58"/>
  <c r="I69" i="58"/>
  <c r="G71" i="58"/>
  <c r="H71" i="58"/>
  <c r="G73" i="58"/>
  <c r="H73" i="58"/>
  <c r="G75" i="58"/>
  <c r="H75" i="58"/>
  <c r="G77" i="58"/>
  <c r="H77" i="58"/>
  <c r="G79" i="58"/>
  <c r="H79" i="58"/>
  <c r="G81" i="58"/>
  <c r="H81" i="58"/>
  <c r="J83" i="58" s="1"/>
  <c r="G83" i="58"/>
  <c r="G85" i="58"/>
  <c r="J85" i="58"/>
  <c r="G87" i="58"/>
  <c r="J87" i="58"/>
  <c r="G89" i="58"/>
  <c r="J89" i="58"/>
  <c r="G91" i="58"/>
  <c r="J91" i="58"/>
  <c r="G93" i="58"/>
  <c r="H93" i="58"/>
  <c r="J93" i="58" s="1"/>
  <c r="G96" i="58"/>
  <c r="H96" i="58"/>
  <c r="G98" i="58"/>
  <c r="H98" i="58"/>
  <c r="G100" i="58"/>
  <c r="H100" i="58"/>
  <c r="G102" i="58"/>
  <c r="H102" i="58"/>
  <c r="G104" i="58"/>
  <c r="H104" i="58"/>
  <c r="G106" i="58"/>
  <c r="H106" i="58"/>
  <c r="G108" i="58"/>
  <c r="H108" i="58"/>
  <c r="G110" i="58"/>
  <c r="H110" i="58"/>
  <c r="G112" i="58"/>
  <c r="H112" i="58"/>
  <c r="G114" i="58"/>
  <c r="H114" i="58"/>
  <c r="G116" i="58"/>
  <c r="H116" i="58"/>
  <c r="G118" i="58"/>
  <c r="H118" i="58"/>
  <c r="G120" i="58"/>
  <c r="H120" i="58"/>
  <c r="G122" i="58"/>
  <c r="H122" i="58"/>
  <c r="G124" i="58"/>
  <c r="H124" i="58"/>
  <c r="G126" i="58"/>
  <c r="H126" i="58"/>
  <c r="G128" i="58"/>
  <c r="H128" i="58"/>
  <c r="G130" i="58"/>
  <c r="H130" i="58"/>
  <c r="G132" i="58"/>
  <c r="H132" i="58"/>
  <c r="G134" i="58"/>
  <c r="H134" i="58"/>
  <c r="G136" i="58"/>
  <c r="H136" i="58"/>
  <c r="G138" i="58"/>
  <c r="H138" i="58"/>
  <c r="G140" i="58"/>
  <c r="H140" i="58"/>
  <c r="G142" i="58"/>
  <c r="H142" i="58"/>
  <c r="G144" i="58"/>
  <c r="H144" i="58"/>
  <c r="G146" i="58"/>
  <c r="H146" i="58"/>
  <c r="G148" i="58"/>
  <c r="H148" i="58"/>
  <c r="G150" i="58"/>
  <c r="H150" i="58"/>
  <c r="G152" i="58"/>
  <c r="H152" i="58"/>
  <c r="G154" i="58"/>
  <c r="H154" i="58"/>
  <c r="F10" i="58"/>
  <c r="G10" i="58"/>
  <c r="H10" i="58" s="1"/>
  <c r="H16" i="58"/>
  <c r="H18" i="58"/>
  <c r="J18" i="58" s="1"/>
  <c r="I13" i="58"/>
  <c r="F9" i="58"/>
  <c r="K191" i="58" l="1"/>
  <c r="I189" i="58"/>
  <c r="D189" i="58"/>
  <c r="D193" i="58" s="1"/>
  <c r="K190" i="58"/>
  <c r="E191" i="58"/>
  <c r="F58" i="72"/>
  <c r="F9" i="71"/>
  <c r="F63" i="71"/>
  <c r="C190" i="58"/>
  <c r="C193" i="58" s="1"/>
  <c r="K188" i="58"/>
  <c r="F190" i="58"/>
  <c r="E188" i="58"/>
  <c r="G189" i="58"/>
  <c r="D190" i="58"/>
  <c r="F189" i="58"/>
  <c r="J176" i="58"/>
  <c r="J189" i="58" s="1"/>
  <c r="F191" i="58"/>
  <c r="I185" i="58"/>
  <c r="I188" i="58"/>
  <c r="F192" i="58"/>
  <c r="J188" i="58"/>
  <c r="G188" i="58"/>
  <c r="F188" i="58"/>
  <c r="E176" i="58"/>
  <c r="H176" i="58"/>
  <c r="H178" i="58"/>
  <c r="J73" i="58"/>
  <c r="J178" i="58"/>
  <c r="J191" i="58" s="1"/>
  <c r="J42" i="58"/>
  <c r="E172" i="58"/>
  <c r="I15" i="58"/>
  <c r="H185" i="58"/>
  <c r="G173" i="58"/>
  <c r="I173" i="58" s="1"/>
  <c r="H12" i="58"/>
  <c r="J12" i="58" s="1"/>
  <c r="E167" i="58"/>
  <c r="J167" i="58"/>
  <c r="J190" i="58" s="1"/>
  <c r="J46" i="58"/>
  <c r="E169" i="58"/>
  <c r="E190" i="58" s="1"/>
  <c r="J148" i="58"/>
  <c r="J38" i="58"/>
  <c r="G168" i="58"/>
  <c r="I168" i="58" s="1"/>
  <c r="J60" i="58"/>
  <c r="J48" i="58"/>
  <c r="H170" i="58"/>
  <c r="J146" i="58"/>
  <c r="J132" i="58"/>
  <c r="J120" i="58"/>
  <c r="H15" i="58"/>
  <c r="G186" i="58"/>
  <c r="J79" i="58"/>
  <c r="J32" i="58"/>
  <c r="J106" i="58"/>
  <c r="J54" i="58"/>
  <c r="J30" i="58"/>
  <c r="J138" i="58"/>
  <c r="J102" i="58"/>
  <c r="H8" i="58"/>
  <c r="I8" i="58"/>
  <c r="E177" i="58"/>
  <c r="J96" i="58"/>
  <c r="J62" i="58"/>
  <c r="J36" i="58"/>
  <c r="K12" i="58"/>
  <c r="J142" i="58"/>
  <c r="F12" i="58"/>
  <c r="J69" i="58"/>
  <c r="J40" i="58"/>
  <c r="J50" i="58"/>
  <c r="J134" i="58"/>
  <c r="J122" i="58"/>
  <c r="J110" i="58"/>
  <c r="E181" i="58"/>
  <c r="J34" i="58"/>
  <c r="J140" i="58"/>
  <c r="J128" i="58"/>
  <c r="J116" i="58"/>
  <c r="J104" i="58"/>
  <c r="J44" i="58"/>
  <c r="J126" i="58"/>
  <c r="J64" i="58"/>
  <c r="J75" i="58"/>
  <c r="H9" i="58"/>
  <c r="J71" i="58"/>
  <c r="G182" i="58"/>
  <c r="I182" i="58" s="1"/>
  <c r="J130" i="58"/>
  <c r="J118" i="58"/>
  <c r="J58" i="58"/>
  <c r="K20" i="58"/>
  <c r="H181" i="58"/>
  <c r="G177" i="58"/>
  <c r="I177" i="58" s="1"/>
  <c r="G172" i="58"/>
  <c r="I172" i="58" s="1"/>
  <c r="G171" i="58"/>
  <c r="I171" i="58" s="1"/>
  <c r="J154" i="58"/>
  <c r="J108" i="58"/>
  <c r="G183" i="58"/>
  <c r="J98" i="58"/>
  <c r="J52" i="58"/>
  <c r="I20" i="58"/>
  <c r="I19" i="58"/>
  <c r="J28" i="58"/>
  <c r="G174" i="58"/>
  <c r="I174" i="58" s="1"/>
  <c r="H175" i="58"/>
  <c r="G69" i="58"/>
  <c r="G94" i="58" s="1"/>
  <c r="G67" i="58"/>
  <c r="I10" i="58"/>
  <c r="J114" i="58"/>
  <c r="J56" i="58"/>
  <c r="G166" i="58"/>
  <c r="I166" i="58" s="1"/>
  <c r="I9" i="58"/>
  <c r="G159" i="58"/>
  <c r="J100" i="58"/>
  <c r="J77" i="58"/>
  <c r="J66" i="58"/>
  <c r="G165" i="58"/>
  <c r="I165" i="58" s="1"/>
  <c r="J150" i="58"/>
  <c r="J144" i="58"/>
  <c r="G164" i="58"/>
  <c r="I164" i="58" s="1"/>
  <c r="G167" i="58"/>
  <c r="I167" i="58" s="1"/>
  <c r="J152" i="58"/>
  <c r="E3" i="58"/>
  <c r="H180" i="58"/>
  <c r="J81" i="58"/>
  <c r="J124" i="58"/>
  <c r="J136" i="58"/>
  <c r="J16" i="58"/>
  <c r="H169" i="58"/>
  <c r="H190" i="58" s="1"/>
  <c r="J112" i="58"/>
  <c r="H19" i="58"/>
  <c r="E193" i="58" l="1"/>
  <c r="H191" i="58"/>
  <c r="G43" i="71"/>
  <c r="G38" i="72"/>
  <c r="F6" i="71"/>
  <c r="F104" i="71"/>
  <c r="F106" i="71" s="1"/>
  <c r="F108" i="71" s="1"/>
  <c r="F6" i="72"/>
  <c r="F110" i="72"/>
  <c r="F112" i="72" s="1"/>
  <c r="F11" i="72" s="1"/>
  <c r="H189" i="58"/>
  <c r="E189" i="58"/>
  <c r="J8" i="58"/>
  <c r="H188" i="58"/>
  <c r="I183" i="58"/>
  <c r="I190" i="58" s="1"/>
  <c r="G190" i="58"/>
  <c r="I191" i="58"/>
  <c r="G191" i="58"/>
  <c r="I186" i="58"/>
  <c r="I192" i="58" s="1"/>
  <c r="G192" i="58"/>
  <c r="J15" i="58"/>
  <c r="J67" i="58"/>
  <c r="K67" i="58" s="1"/>
  <c r="J94" i="58"/>
  <c r="J9" i="58"/>
  <c r="J10" i="58"/>
  <c r="I3" i="58"/>
  <c r="J159" i="58"/>
  <c r="J19" i="58"/>
  <c r="F114" i="72" l="1"/>
  <c r="F12" i="72"/>
  <c r="E17" i="43" s="1"/>
  <c r="F10" i="71"/>
  <c r="F11" i="71" s="1"/>
  <c r="E14" i="43" s="1"/>
  <c r="J3" i="58"/>
  <c r="E22" i="43" l="1"/>
</calcChain>
</file>

<file path=xl/sharedStrings.xml><?xml version="1.0" encoding="utf-8"?>
<sst xmlns="http://schemas.openxmlformats.org/spreadsheetml/2006/main" count="689" uniqueCount="335">
  <si>
    <t>m2</t>
  </si>
  <si>
    <t>m1</t>
  </si>
  <si>
    <t>kos</t>
  </si>
  <si>
    <t>m3</t>
  </si>
  <si>
    <t>Šifra</t>
  </si>
  <si>
    <t>Opis dela</t>
  </si>
  <si>
    <t>enota</t>
  </si>
  <si>
    <t>cena/enoto</t>
  </si>
  <si>
    <t>cena</t>
  </si>
  <si>
    <t>količina</t>
  </si>
  <si>
    <t>DDV ni vključen v ceni!</t>
  </si>
  <si>
    <t>Znesek</t>
  </si>
  <si>
    <t>1.</t>
  </si>
  <si>
    <t>SKUPAJ v EUR</t>
  </si>
  <si>
    <t>z.1.1</t>
  </si>
  <si>
    <t xml:space="preserve">Preddela </t>
  </si>
  <si>
    <t>z.1.2</t>
  </si>
  <si>
    <t>Zemeljska dela</t>
  </si>
  <si>
    <t>z.1.3.</t>
  </si>
  <si>
    <t>Zgornji ustroj</t>
  </si>
  <si>
    <t>z.1.4</t>
  </si>
  <si>
    <t>z.1.5</t>
  </si>
  <si>
    <t>z.1.6</t>
  </si>
  <si>
    <t>Naprave za odvodnjavanje</t>
  </si>
  <si>
    <t>z.1.7</t>
  </si>
  <si>
    <t>Nepredvidena dela</t>
  </si>
  <si>
    <t>SKUPAJ</t>
  </si>
  <si>
    <t>šifra</t>
  </si>
  <si>
    <t>Opis del</t>
  </si>
  <si>
    <t>Preddela</t>
  </si>
  <si>
    <t>z.1.1.1</t>
  </si>
  <si>
    <t>z.1.1.2</t>
  </si>
  <si>
    <t xml:space="preserve">Rušenje asfaltnih vozišč do debeline 10 cm vključno z robnimi elementi in odvozom odpadnega materiala na trajno deponijo izvajalca. </t>
  </si>
  <si>
    <t>z.1.1.3</t>
  </si>
  <si>
    <t>z.1.1.4</t>
  </si>
  <si>
    <t>z.1.1.5</t>
  </si>
  <si>
    <t>z.1.1.6</t>
  </si>
  <si>
    <t>z.1.1.7</t>
  </si>
  <si>
    <t>z.1.1.8</t>
  </si>
  <si>
    <t>z.1.1.9</t>
  </si>
  <si>
    <t>z.1.1.10</t>
  </si>
  <si>
    <t>z.1.1.11</t>
  </si>
  <si>
    <t>z.1.1.12</t>
  </si>
  <si>
    <t>Preddela - skupaj</t>
  </si>
  <si>
    <t>Izkopi</t>
  </si>
  <si>
    <t>z.1.2.1.1</t>
  </si>
  <si>
    <t>z.1.2.1.2</t>
  </si>
  <si>
    <t>z.1.2.1.3</t>
  </si>
  <si>
    <t>z.1.2.2.</t>
  </si>
  <si>
    <t>Planum temeljnih tal</t>
  </si>
  <si>
    <t>z.1.2.2.2</t>
  </si>
  <si>
    <t>z.1.2.3.</t>
  </si>
  <si>
    <t>Nasipi in posteljice</t>
  </si>
  <si>
    <t>z.1.2.3.1</t>
  </si>
  <si>
    <t xml:space="preserve">Zgornji ustroj </t>
  </si>
  <si>
    <t>z.1.3.1</t>
  </si>
  <si>
    <t>Nosilne nevezane plasti</t>
  </si>
  <si>
    <t>z.1.3.1.1</t>
  </si>
  <si>
    <t>z.1.3.2</t>
  </si>
  <si>
    <t>Vezane nosilne plasti</t>
  </si>
  <si>
    <t>z.1.3.2.1</t>
  </si>
  <si>
    <t>z.1.3.3</t>
  </si>
  <si>
    <t>Obrabne zaporne plasti</t>
  </si>
  <si>
    <t>z.1.3.3.1</t>
  </si>
  <si>
    <t>z.1.3.3.2</t>
  </si>
  <si>
    <t>z.1.5.1</t>
  </si>
  <si>
    <t>z.1.6.1</t>
  </si>
  <si>
    <t>z.1.6.2</t>
  </si>
  <si>
    <t>z.1.6.3</t>
  </si>
  <si>
    <t>Naprave za odvodnjavanje - skupaj</t>
  </si>
  <si>
    <t>Prometna signalizacija in oprema</t>
  </si>
  <si>
    <t>z.1.7.1</t>
  </si>
  <si>
    <t>z.1</t>
  </si>
  <si>
    <t>površina</t>
  </si>
  <si>
    <t>razdalja</t>
  </si>
  <si>
    <t>Izdelava temelja iz cementnega betona C12/15 dolžine 60 cm in prereza do 40 cm.</t>
  </si>
  <si>
    <t>Rušenja vseh obstoječih objektov so opredeljna v okviru projekta arhitekture!</t>
  </si>
  <si>
    <t>Zarezovanje obstoječega asfaltnega vozišča debeline do 10 cm.</t>
  </si>
  <si>
    <t xml:space="preserve">Površinski izkop plodne zemlje (humusa) v debelini 20 cm z odrivom materiala na gradbiščno oz. začasno deponijo, izven območja gradbene jame objekta. </t>
  </si>
  <si>
    <t>kvadrature</t>
  </si>
  <si>
    <t>humus</t>
  </si>
  <si>
    <t>obst asfalt</t>
  </si>
  <si>
    <t>Profil P6</t>
  </si>
  <si>
    <t>Profil P7</t>
  </si>
  <si>
    <t>Profil P8</t>
  </si>
  <si>
    <t>Profil P9</t>
  </si>
  <si>
    <t>Profil P10</t>
  </si>
  <si>
    <t>Profil P11</t>
  </si>
  <si>
    <t>Profil P12</t>
  </si>
  <si>
    <t>Profil P13</t>
  </si>
  <si>
    <t>Profil P14</t>
  </si>
  <si>
    <t>Profil P15</t>
  </si>
  <si>
    <t>Profil P16</t>
  </si>
  <si>
    <t>Profil P17</t>
  </si>
  <si>
    <t>Profil P18</t>
  </si>
  <si>
    <t>Profil P19</t>
  </si>
  <si>
    <t>Profil P20</t>
  </si>
  <si>
    <t>Profil P21</t>
  </si>
  <si>
    <t>Profil P22</t>
  </si>
  <si>
    <t>Profil P23</t>
  </si>
  <si>
    <t>Profil P24</t>
  </si>
  <si>
    <t>Profil P25</t>
  </si>
  <si>
    <t>Profil P26</t>
  </si>
  <si>
    <t>Profil P27</t>
  </si>
  <si>
    <t>Profil P28</t>
  </si>
  <si>
    <t>Profil P29</t>
  </si>
  <si>
    <t>Profil P30</t>
  </si>
  <si>
    <t>Profil P31</t>
  </si>
  <si>
    <t>Profil P32</t>
  </si>
  <si>
    <t>Profil P33</t>
  </si>
  <si>
    <t>Profil P34</t>
  </si>
  <si>
    <t>Profil P35</t>
  </si>
  <si>
    <t>Profil P36</t>
  </si>
  <si>
    <t>Profil P37</t>
  </si>
  <si>
    <t>z.1.1.13</t>
  </si>
  <si>
    <t>z.1.1.14</t>
  </si>
  <si>
    <t>z.1.1.15</t>
  </si>
  <si>
    <t>z.1.1.16</t>
  </si>
  <si>
    <t>z.1.1.17</t>
  </si>
  <si>
    <t>z.1.1.18</t>
  </si>
  <si>
    <t>z.1.1.19</t>
  </si>
  <si>
    <t>z.1.1.20</t>
  </si>
  <si>
    <t>z.1.1.21</t>
  </si>
  <si>
    <t>z.1.1.23</t>
  </si>
  <si>
    <t>z.1.1.24</t>
  </si>
  <si>
    <t>z.1.1.25</t>
  </si>
  <si>
    <t>z.1.1.26</t>
  </si>
  <si>
    <t>z.1.1.27</t>
  </si>
  <si>
    <t>z.1.1.28</t>
  </si>
  <si>
    <t>z.1.1.30</t>
  </si>
  <si>
    <t>z.1.1.31</t>
  </si>
  <si>
    <t>z.1.1.32</t>
  </si>
  <si>
    <t>z.1.1.34</t>
  </si>
  <si>
    <t>z.1.1.35</t>
  </si>
  <si>
    <t>z.1.1.36</t>
  </si>
  <si>
    <t>z.1.1.38</t>
  </si>
  <si>
    <t>z.1.1.39</t>
  </si>
  <si>
    <t>z.1.1.40</t>
  </si>
  <si>
    <t>z.1.1.41</t>
  </si>
  <si>
    <t>z.1.1.42</t>
  </si>
  <si>
    <t>nova cesta</t>
  </si>
  <si>
    <t>asf. mulda</t>
  </si>
  <si>
    <t>m</t>
  </si>
  <si>
    <t>Zgornji ustroj- voziščna konstrukcija - skupaj</t>
  </si>
  <si>
    <t>Nabava, dobava materiala in izdelava nevezane nosilne plasti drobljenca TD32 v deb. 30 cm za potrebe povoznih površin. Utrjevanje do predvidene trdnosti Ev2min= 100 Mpa za povozne površine.</t>
  </si>
  <si>
    <t>Dobava in izdelava kamnite posteljice iz kamnitega zmrzlinsko odpornega materiala 0/63 v debelini plasti 40 cm, povozne površine na terenu.</t>
  </si>
  <si>
    <t xml:space="preserve">Planiranje in valjanje planuma spodnjega ustroja vključno z nasipnim materialom za povozne površine, točnosti +- 3,0 cm. Nagib planuma min 1%. </t>
  </si>
  <si>
    <t>Predhodna obdelava stika in premaz z bitumensko lepilno zmesjo po celotni višini.</t>
  </si>
  <si>
    <t>ZUNANJA IN PROMETNA UREDITEV</t>
  </si>
  <si>
    <t>mulda D</t>
  </si>
  <si>
    <t>IZKOPI</t>
  </si>
  <si>
    <t>NASIPI</t>
  </si>
  <si>
    <t>z.1.2.4</t>
  </si>
  <si>
    <t>Zelenice in drevesa</t>
  </si>
  <si>
    <t>z.1.2.4.1</t>
  </si>
  <si>
    <t>Dobava, sejanje in razstiranje zemljine za zelenico v debelini 15 cm, vključno s humuziranjem brežin.</t>
  </si>
  <si>
    <t>z.1.2.4.2</t>
  </si>
  <si>
    <t>Dobava in razstiranje peščene zemljine za zelenico v debelini 20 cm.</t>
  </si>
  <si>
    <t>brežina D</t>
  </si>
  <si>
    <t>brežina L</t>
  </si>
  <si>
    <t>Profil P1</t>
  </si>
  <si>
    <t>Profil P2</t>
  </si>
  <si>
    <t>Profil P3</t>
  </si>
  <si>
    <t>Profil P5</t>
  </si>
  <si>
    <t>z.1.1.43</t>
  </si>
  <si>
    <t>z.1.1.44</t>
  </si>
  <si>
    <t>z.1.1.45</t>
  </si>
  <si>
    <t>z.1.1.46</t>
  </si>
  <si>
    <t>z.1.1.47</t>
  </si>
  <si>
    <t>z.1.1.48</t>
  </si>
  <si>
    <t>z.1.1.49</t>
  </si>
  <si>
    <t>z.1.1.50</t>
  </si>
  <si>
    <t>z.1.1.51</t>
  </si>
  <si>
    <t>z.1.1.52</t>
  </si>
  <si>
    <t>z.1.1.53</t>
  </si>
  <si>
    <t>z.1.1.54</t>
  </si>
  <si>
    <t>z.1.1.55</t>
  </si>
  <si>
    <t>z.1.1.56</t>
  </si>
  <si>
    <t>z.1.1.57</t>
  </si>
  <si>
    <t>z.1.1.58</t>
  </si>
  <si>
    <t>z.1.1.59</t>
  </si>
  <si>
    <t>z.1.1.60</t>
  </si>
  <si>
    <t>z.1.1.61</t>
  </si>
  <si>
    <t>z.1.1.62</t>
  </si>
  <si>
    <t>z.1.1.63</t>
  </si>
  <si>
    <t>z.1.1.64</t>
  </si>
  <si>
    <t>z.1.1.65</t>
  </si>
  <si>
    <t>z.1.1.66</t>
  </si>
  <si>
    <t>z.1.1.67</t>
  </si>
  <si>
    <t>z.1.1.68</t>
  </si>
  <si>
    <t>z.1.1.69</t>
  </si>
  <si>
    <t>z.1.1.70</t>
  </si>
  <si>
    <t>Profil P27, meja etape</t>
  </si>
  <si>
    <t>CESTA NA GRAD, etapa 3B</t>
  </si>
  <si>
    <t>CESTA NA GRAD, etapa 3A</t>
  </si>
  <si>
    <t>SKUPAJ ETAPA 3B</t>
  </si>
  <si>
    <t>SKUPAJ ETAPA 3A</t>
  </si>
  <si>
    <t>INTERVENCIJSKO-SERVISNA CESTA, etapa 1 in 2</t>
  </si>
  <si>
    <t>SKUPAJ INTERV.-SERVISNA CESTA</t>
  </si>
  <si>
    <t>izkopi upoštevani v popisu arh</t>
  </si>
  <si>
    <t>zarez. asfalta</t>
  </si>
  <si>
    <t>bankina D</t>
  </si>
  <si>
    <t>nov asfalt</t>
  </si>
  <si>
    <t xml:space="preserve">7x CP </t>
  </si>
  <si>
    <t xml:space="preserve">Izdelava asfaltne nosilne vezane plasti AC base 22, B50/70, A4, debeline 6 cm. </t>
  </si>
  <si>
    <t>z.1.4.1</t>
  </si>
  <si>
    <t>z.1.2.2.1</t>
  </si>
  <si>
    <t xml:space="preserve">Nabava, dobava in postavitev stebriča premera 64 mm iz vroče cinkane jeklene S cevi dolžina 3000 mm. </t>
  </si>
  <si>
    <t>Robni elementi</t>
  </si>
  <si>
    <t>z.1.3</t>
  </si>
  <si>
    <t>IZKOPI [m3]</t>
  </si>
  <si>
    <t>NASIPI [m3]</t>
  </si>
  <si>
    <t>NETO [m3]</t>
  </si>
  <si>
    <t>Izdelava asfaltne obrabno zaporne plasti asfalt AC surf 11, B50/70, A4, debeline 4 cm.</t>
  </si>
  <si>
    <t>delež hribine V. ktg, 10 % izkopa [m3]</t>
  </si>
  <si>
    <t xml:space="preserve">Postavitev in zavarovanje prečnih profilov. 
</t>
  </si>
  <si>
    <t xml:space="preserve">R E K A P I T U L A CI J A   </t>
  </si>
  <si>
    <t>Zunanja in prometna ureditev - skupaj</t>
  </si>
  <si>
    <t>Zemeljska dela - skupaj</t>
  </si>
  <si>
    <t>Nepredvidena dela - skupaj</t>
  </si>
  <si>
    <t xml:space="preserve">Načrt: </t>
  </si>
  <si>
    <t xml:space="preserve">Datum: </t>
  </si>
  <si>
    <t>PZI</t>
  </si>
  <si>
    <t>MASNA BILANCA (CIVIL 3D)</t>
  </si>
  <si>
    <t>s faktorjem 1,2</t>
  </si>
  <si>
    <t>KOLIČINA IZKOPOV IN NASIPOV V SKLOPU IZVEDBE ZUNANJE UREDITVE</t>
  </si>
  <si>
    <t>CIVIL 3D</t>
  </si>
  <si>
    <t>Površina m2</t>
  </si>
  <si>
    <t>nasip</t>
  </si>
  <si>
    <t>z.1.4.2</t>
  </si>
  <si>
    <t>z.1.4.3</t>
  </si>
  <si>
    <t xml:space="preserve">ETAPA 3, cesta 3B ZAHOD </t>
  </si>
  <si>
    <t>POPRAVLJENO, novi arh izkopi</t>
  </si>
  <si>
    <t>z.1.2.1</t>
  </si>
  <si>
    <t>ETAPA 3 - pot spodaj</t>
  </si>
  <si>
    <t>POPRAVLJENO, izravnava terena</t>
  </si>
  <si>
    <t>ETAPA 3 - PEŠPOT</t>
  </si>
  <si>
    <t>dodatno izkop 45 cm, 108,5 m2 (spodaj) in izkop 33 cm, 19,4 m2 (zgoraj)</t>
  </si>
  <si>
    <t>POPRAVLJENO, novi arh izkopi, izkop 30 cm</t>
  </si>
  <si>
    <t>ETAPA 3 - zelenica iztek SI ceste</t>
  </si>
  <si>
    <t>ETAPA 3 - zelenica lopa</t>
  </si>
  <si>
    <t>POPRAVLJENO, izkop do TD</t>
  </si>
  <si>
    <t>ETAPA 0 - SI cesta NOVO tampon</t>
  </si>
  <si>
    <t>POPRAVLJENO, novi arh izkopi, izkop 32 cm (do TD)</t>
  </si>
  <si>
    <t>delež III. (3b zahod) oziroma IV. ktg. [m3]</t>
  </si>
  <si>
    <t>ETAPA 3 - zelenica zgoraj</t>
  </si>
  <si>
    <t>ETAPA 3 - POT zgoraj</t>
  </si>
  <si>
    <t>ETAPA 3 - zelenica ob igrišču, spodaj in zgoraj</t>
  </si>
  <si>
    <t xml:space="preserve">Nabava, dobava in polaganje PP geotekstila (npr. Polyfelt TS30 ali podobno) na splaniran in uvaljan planum spodnjega ustroja oziroma terena, polaganje s preklopom min. 10 cm. Pretržna sila Tmin=12 kN/m. </t>
  </si>
  <si>
    <t>ETAPA 0 - manipulacijska  površina</t>
  </si>
  <si>
    <t>ETAPA 3 - zelenica zid zahod</t>
  </si>
  <si>
    <t>ETAPA 3 - vrt</t>
  </si>
  <si>
    <t>NASIP ZA PRODEC (etapa 1)</t>
  </si>
  <si>
    <t>VSOTE:</t>
  </si>
  <si>
    <t>POPRAVLJENO</t>
  </si>
  <si>
    <t>območje</t>
  </si>
  <si>
    <t>površina m2</t>
  </si>
  <si>
    <t>izkop</t>
  </si>
  <si>
    <t> mb_beton</t>
  </si>
  <si>
    <t> mb_gozdna_pot_1</t>
  </si>
  <si>
    <t> mb_igrisce</t>
  </si>
  <si>
    <t> mb_izkop3</t>
  </si>
  <si>
    <t> mb_pespot</t>
  </si>
  <si>
    <t> mb_SI</t>
  </si>
  <si>
    <t> mb_trava3</t>
  </si>
  <si>
    <t> mb_trava4</t>
  </si>
  <si>
    <t> mb_trava1.2</t>
  </si>
  <si>
    <t xml:space="preserve">neto </t>
  </si>
  <si>
    <t xml:space="preserve">delež hribine V. ktg, OCENA 10 % celega izkopa [m3] </t>
  </si>
  <si>
    <t>delež izkopanega peska [m3]</t>
  </si>
  <si>
    <t>delež peska [m3] za ponovno vgradnjo</t>
  </si>
  <si>
    <t>faktor 1,4</t>
  </si>
  <si>
    <t>faktor 1,2</t>
  </si>
  <si>
    <t>etapa 3</t>
  </si>
  <si>
    <t>etapa 2</t>
  </si>
  <si>
    <t xml:space="preserve">humus [m3] </t>
  </si>
  <si>
    <t>mb_MAN_povrs</t>
  </si>
  <si>
    <t>etapa 0</t>
  </si>
  <si>
    <t xml:space="preserve">cesta 3B ZAHOD </t>
  </si>
  <si>
    <t> mb_trava5.1</t>
  </si>
  <si>
    <t> mb_trava5.3</t>
  </si>
  <si>
    <t>etapa 1</t>
  </si>
  <si>
    <t>etapa 3b</t>
  </si>
  <si>
    <t> mb_trava1.3</t>
  </si>
  <si>
    <t> mb_trava2.3</t>
  </si>
  <si>
    <t> mb_trava2.2</t>
  </si>
  <si>
    <t> mb_izkop2.3</t>
  </si>
  <si>
    <t> mb_izkop2.2</t>
  </si>
  <si>
    <t> mb_izkop1.2</t>
  </si>
  <si>
    <t> mb_izkop1.3</t>
  </si>
  <si>
    <t> mb_izkop4.3</t>
  </si>
  <si>
    <t> mb_izkop4.2</t>
  </si>
  <si>
    <t> mb_trava2.1</t>
  </si>
  <si>
    <t>izkop -32 cm</t>
  </si>
  <si>
    <t>tomislav hrvat bo samo posadil travo</t>
  </si>
  <si>
    <t xml:space="preserve">Pred pričetkom del je potrebno izvesti zakoličbo vseh obstoječih komunalnih vodov in preveriti lokacije obstoječih revizijskih jaškov. V kolikor dejansko stanje odstopa od podlag za projektne rešitve, je potrebno o tem obvestiti projektanta, ki na podlagi projektantskega nadzora prilagodi rešitev. 
</t>
  </si>
  <si>
    <t>Široki izkop zemljine III. kat., v raščenem stanju, z odrivom na gradbiščno deponijo.</t>
  </si>
  <si>
    <t xml:space="preserve">Odvoz zemljine III. kat., v raščenem stanju, na trajno deponijo in strošek deponije, če zemljina ne bo ustrezala zahtevam geomehanika za ponovno vgradnja v nasipe. Obračun glede na količino v raščenem stanju. Z upoštevanjem faktorja raztrosa 20 %. </t>
  </si>
  <si>
    <t>faktor raztrosa - pesek</t>
  </si>
  <si>
    <t>faktor raztrosa - hribina</t>
  </si>
  <si>
    <t>delež hribine V. ktg, OCENA 10 % celega izkopa [m3] z upoštevanjem raztrosa</t>
  </si>
  <si>
    <t>delež izkopanega peska [m3] z upoštevanjem raztrosa</t>
  </si>
  <si>
    <t>delež peska [m3] za ponovno vgradnjo z upoštevanjem raztrosa</t>
  </si>
  <si>
    <t>Javna cesta</t>
  </si>
  <si>
    <t>Sončna pot - rekonstrukcija</t>
  </si>
  <si>
    <t>Javna Cesta</t>
  </si>
  <si>
    <t>2</t>
  </si>
  <si>
    <t>63/2020</t>
  </si>
  <si>
    <t xml:space="preserve">Obnova in zavarovanje zakoličbe osi trase javne ceste v ravninskem terenu. </t>
  </si>
  <si>
    <t>Zakoličba vseh komunalnih vodov na območju rekonstrukcije Sončne poti</t>
  </si>
  <si>
    <t>Izkop za objekte oz. zunanjo ureditev je opredeljen v okviru projekta arhitekture!</t>
  </si>
  <si>
    <t>Robni elementi- robniki, bet. elementi..</t>
  </si>
  <si>
    <t>Robni elementi - skupaj</t>
  </si>
  <si>
    <t>Ostala dodatna in nepredvidena dela. Obračun po dejanskih stroških porabe časa in materiala po vpisu v gradbeni dnevnik. Ocena stroškov 5,0 % od vrednosti del.</t>
  </si>
  <si>
    <t>3</t>
  </si>
  <si>
    <t xml:space="preserve">Izdelava projekta izvedenih del (PID). Izvajalec mora predati projekt v 4 izvodih tiskane oblike in v digitalni obliki, ki mora biti izdelan v skladu z veljavno zakonodajo in zahtevami naročnika. Digitalna oblika se odda v formatu .pdf in .dwg. </t>
  </si>
  <si>
    <t>Izdelava obrobe iz malih tlakovcev iz naravnega kamna velikosti 10/10/10 cm, vgradnja v bet. temelj C16/20.</t>
  </si>
  <si>
    <t>Nabava, dobava in vgradnja robnikov iz litega cementnega betona s prerezom 15/25 cm, vgradnja v bet. temelj C16/20. Poglobljen - nadvišanje 2cm.</t>
  </si>
  <si>
    <t>Izdelava asfaltne obrabno zaporne plasti asfalt AC surf 11, B50/70, A4, debeline 5 cm - hodnik za pešce(na mestih uvoza preko robnika se izvede enaka struktura asfalta kot na cesti)</t>
  </si>
  <si>
    <t>Nabava, dobava materiala in izdelava cestnega požiralnika premera 50 cm, globine 150 cm. Izvedba z LTŽ reštko, ter izdelava vezne kanalizacije do obstoječe ali novoizgrajene meteorne kanalizacije. Glej detajl.</t>
  </si>
  <si>
    <t>Nabava, dobava in vgradnja robnikov iz litega cementnega betona s prerezom 10/25 cm, vgradnja v bet. temelj C16/20. Nadvišanje nad niveleto ceste 2cm.</t>
  </si>
  <si>
    <t>Nabava, dobava in vgradnja robnikov iz litega cementnega betona s prerezom 15/25 cm, vgradnja v bet. temelj C16/20. Poglobljen - nadvišanje 0cm - rob voziščne konstrukcije</t>
  </si>
  <si>
    <t>Zakoličba vseh komunalnih vodov na območju javne ceste</t>
  </si>
  <si>
    <t>Prometna signalizacija in oprema - skupaj</t>
  </si>
  <si>
    <t>z.1.6.4</t>
  </si>
  <si>
    <t>z.1.6.5</t>
  </si>
  <si>
    <t>z.1.6.6</t>
  </si>
  <si>
    <t>Nabava, dobava in pritrditev prometnega znaka STOP, 2102, podloga iz aluminijaste pločevine. Znak z odsevno folijo I. kvalitete.</t>
  </si>
  <si>
    <t>Nabava, dobava in pritrditev prometnega znaka OBMOČJE OMEJENE HITROSTI, 2421, podloga iz aluminijaste pločevine. Znak z odsevno folijo I. kvalitete.</t>
  </si>
  <si>
    <t>Izdelava tankoslojne talne označbe neprekinjena široka prečna črta, 5211, z enokomponentno belo barvo, strojno, debelina plasti suhe snovi 200 um, širina črte 30 cm.</t>
  </si>
  <si>
    <t>Izdelava tankoslojne talne označbe ločilna neprekinjena črta, 5111, z enokomponentno belo barvo, strojno, debelina plasti suhe snovi 200 um, širina črte 10 cm.</t>
  </si>
  <si>
    <t>Izdelava humuzirane bankine, široke do 0,50 m</t>
  </si>
  <si>
    <t>april 2023</t>
  </si>
  <si>
    <t>Ureditev dovoza k objektu Sončna pot 35 zaradi izdelave novega pločnika. Obračun po dejanskih stroških porabe časa in materiala po vpisu v gradbeni dnevnik. Ocena vrednosti del.</t>
  </si>
  <si>
    <t xml:space="preserve">Komunalno opremljanje stavbnih zemljišč – območje urejanja  OPPN 251: stanovanjska cona Zadobrova-del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</si>
</sst>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SIT&quot;"/>
    <numFmt numFmtId="165" formatCode="0.0"/>
    <numFmt numFmtId="166" formatCode="#,##0.00\ &quot;€&quot;"/>
  </numFmts>
  <fonts count="42" x14ac:knownFonts="1">
    <font>
      <sz val="10"/>
      <name val="Arial CE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0"/>
      <name val="Arial CE"/>
      <family val="2"/>
    </font>
    <font>
      <sz val="10"/>
      <name val="Arial CE"/>
    </font>
    <font>
      <sz val="10"/>
      <name val="Arial"/>
      <family val="2"/>
    </font>
    <font>
      <u/>
      <sz val="10"/>
      <name val="Arial CE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b/>
      <sz val="8"/>
      <name val="Calibri"/>
      <family val="2"/>
      <charset val="238"/>
    </font>
    <font>
      <b/>
      <sz val="10"/>
      <name val="Arial"/>
      <family val="2"/>
      <charset val="238"/>
    </font>
    <font>
      <sz val="10"/>
      <name val="Times New Roman CE"/>
      <charset val="238"/>
    </font>
    <font>
      <b/>
      <sz val="10"/>
      <name val="Arial"/>
      <family val="2"/>
    </font>
    <font>
      <sz val="8"/>
      <name val="Arial CE"/>
    </font>
    <font>
      <sz val="14"/>
      <name val="Arial"/>
      <family val="2"/>
    </font>
    <font>
      <sz val="20"/>
      <name val="Arial"/>
      <family val="2"/>
    </font>
    <font>
      <sz val="9"/>
      <name val="Calibri"/>
      <family val="2"/>
      <charset val="238"/>
    </font>
    <font>
      <i/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0070C0"/>
      <name val="Arial"/>
      <family val="2"/>
    </font>
    <font>
      <sz val="10"/>
      <color rgb="FF0070C0"/>
      <name val="Arial"/>
      <family val="2"/>
    </font>
    <font>
      <sz val="10"/>
      <color rgb="FFFF0000"/>
      <name val="Arial"/>
      <family val="2"/>
    </font>
    <font>
      <sz val="10"/>
      <color theme="1" tint="0.499984740745262"/>
      <name val="Arial"/>
      <family val="2"/>
    </font>
    <font>
      <b/>
      <sz val="10"/>
      <color theme="1" tint="0.499984740745262"/>
      <name val="Arial"/>
      <family val="2"/>
      <charset val="238"/>
    </font>
    <font>
      <b/>
      <sz val="10"/>
      <color theme="0" tint="-0.499984740745262"/>
      <name val="Arial"/>
      <family val="2"/>
    </font>
    <font>
      <sz val="10"/>
      <color theme="0" tint="-0.499984740745262"/>
      <name val="Arial"/>
      <family val="2"/>
    </font>
    <font>
      <sz val="10"/>
      <color rgb="FF7030A0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MS Sans Serif"/>
      <family val="2"/>
      <charset val="238"/>
    </font>
    <font>
      <sz val="10"/>
      <color rgb="FFFF0000"/>
      <name val="Arial CE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8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16" borderId="1" applyNumberFormat="0" applyAlignment="0" applyProtection="0"/>
    <xf numFmtId="0" fontId="11" fillId="0" borderId="0" applyNumberForma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20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2" fillId="0" borderId="0" applyNumberFormat="0" applyFill="0" applyBorder="0" applyAlignment="0" applyProtection="0"/>
    <xf numFmtId="0" fontId="10" fillId="16" borderId="1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39" fillId="0" borderId="0"/>
    <xf numFmtId="0" fontId="20" fillId="0" borderId="0"/>
    <xf numFmtId="0" fontId="40" fillId="0" borderId="0"/>
    <xf numFmtId="0" fontId="13" fillId="0" borderId="0"/>
    <xf numFmtId="0" fontId="13" fillId="0" borderId="0"/>
    <xf numFmtId="0" fontId="13" fillId="0" borderId="0"/>
    <xf numFmtId="0" fontId="13" fillId="0" borderId="0"/>
  </cellStyleXfs>
  <cellXfs count="282">
    <xf numFmtId="0" fontId="0" fillId="0" borderId="0" xfId="0"/>
    <xf numFmtId="0" fontId="4" fillId="0" borderId="0" xfId="46" applyFont="1"/>
    <xf numFmtId="0" fontId="5" fillId="0" borderId="0" xfId="46" applyFont="1"/>
    <xf numFmtId="0" fontId="6" fillId="0" borderId="0" xfId="47" applyFont="1"/>
    <xf numFmtId="0" fontId="3" fillId="0" borderId="0" xfId="47" applyFont="1"/>
    <xf numFmtId="0" fontId="4" fillId="0" borderId="0" xfId="47" applyFont="1" applyAlignment="1">
      <alignment horizontal="center"/>
    </xf>
    <xf numFmtId="49" fontId="14" fillId="0" borderId="0" xfId="49" applyNumberFormat="1" applyFont="1" applyAlignment="1">
      <alignment horizontal="center"/>
    </xf>
    <xf numFmtId="0" fontId="14" fillId="0" borderId="0" xfId="49" applyFont="1" applyAlignment="1">
      <alignment horizontal="left" vertical="top" wrapText="1"/>
    </xf>
    <xf numFmtId="0" fontId="14" fillId="0" borderId="0" xfId="49" applyFont="1" applyAlignment="1">
      <alignment horizontal="center"/>
    </xf>
    <xf numFmtId="0" fontId="14" fillId="0" borderId="0" xfId="49" applyFont="1"/>
    <xf numFmtId="0" fontId="15" fillId="0" borderId="0" xfId="41" applyFont="1"/>
    <xf numFmtId="0" fontId="16" fillId="0" borderId="0" xfId="49" applyFont="1" applyAlignment="1">
      <alignment horizontal="left" vertical="top" wrapText="1"/>
    </xf>
    <xf numFmtId="0" fontId="17" fillId="0" borderId="0" xfId="49" applyFont="1" applyAlignment="1">
      <alignment horizontal="center" vertical="top" wrapText="1"/>
    </xf>
    <xf numFmtId="49" fontId="18" fillId="0" borderId="2" xfId="41" applyNumberFormat="1" applyFont="1" applyBorder="1" applyAlignment="1">
      <alignment horizontal="center" vertical="center"/>
    </xf>
    <xf numFmtId="39" fontId="18" fillId="0" borderId="2" xfId="41" applyNumberFormat="1" applyFont="1" applyBorder="1" applyAlignment="1">
      <alignment horizontal="left" vertical="center"/>
    </xf>
    <xf numFmtId="39" fontId="18" fillId="0" borderId="2" xfId="41" applyNumberFormat="1" applyFont="1" applyBorder="1" applyAlignment="1">
      <alignment horizontal="center" vertical="center"/>
    </xf>
    <xf numFmtId="0" fontId="18" fillId="0" borderId="2" xfId="41" applyFont="1" applyBorder="1" applyAlignment="1">
      <alignment horizontal="center" vertical="center"/>
    </xf>
    <xf numFmtId="49" fontId="15" fillId="0" borderId="2" xfId="49" applyNumberFormat="1" applyFont="1" applyBorder="1" applyAlignment="1">
      <alignment horizontal="center" vertical="top"/>
    </xf>
    <xf numFmtId="0" fontId="15" fillId="0" borderId="2" xfId="49" applyFont="1" applyBorder="1" applyAlignment="1">
      <alignment horizontal="left" vertical="top" wrapText="1"/>
    </xf>
    <xf numFmtId="0" fontId="15" fillId="0" borderId="2" xfId="49" applyFont="1" applyBorder="1"/>
    <xf numFmtId="4" fontId="15" fillId="0" borderId="2" xfId="49" applyNumberFormat="1" applyFont="1" applyBorder="1"/>
    <xf numFmtId="4" fontId="15" fillId="0" borderId="2" xfId="49" applyNumberFormat="1" applyFont="1" applyBorder="1" applyAlignment="1">
      <alignment vertical="center"/>
    </xf>
    <xf numFmtId="49" fontId="14" fillId="0" borderId="0" xfId="49" applyNumberFormat="1" applyFont="1"/>
    <xf numFmtId="0" fontId="17" fillId="0" borderId="0" xfId="41" applyFont="1"/>
    <xf numFmtId="0" fontId="17" fillId="0" borderId="2" xfId="49" applyFont="1" applyBorder="1" applyAlignment="1">
      <alignment horizontal="left" vertical="center" wrapText="1"/>
    </xf>
    <xf numFmtId="4" fontId="17" fillId="0" borderId="2" xfId="41" applyNumberFormat="1" applyFont="1" applyBorder="1" applyAlignment="1">
      <alignment vertical="center"/>
    </xf>
    <xf numFmtId="49" fontId="18" fillId="0" borderId="0" xfId="41" applyNumberFormat="1" applyFont="1" applyAlignment="1">
      <alignment horizontal="center" vertical="center"/>
    </xf>
    <xf numFmtId="39" fontId="18" fillId="0" borderId="0" xfId="41" applyNumberFormat="1" applyFont="1" applyAlignment="1">
      <alignment horizontal="left" vertical="center"/>
    </xf>
    <xf numFmtId="39" fontId="18" fillId="0" borderId="0" xfId="41" applyNumberFormat="1" applyFont="1" applyAlignment="1">
      <alignment horizontal="center" vertical="center"/>
    </xf>
    <xf numFmtId="0" fontId="18" fillId="0" borderId="0" xfId="41" applyFont="1" applyAlignment="1">
      <alignment horizontal="center" vertical="center"/>
    </xf>
    <xf numFmtId="39" fontId="17" fillId="0" borderId="0" xfId="41" applyNumberFormat="1" applyFont="1" applyAlignment="1">
      <alignment horizontal="left" vertical="center"/>
    </xf>
    <xf numFmtId="4" fontId="15" fillId="0" borderId="0" xfId="41" applyNumberFormat="1" applyFont="1"/>
    <xf numFmtId="0" fontId="2" fillId="0" borderId="0" xfId="41" applyFont="1"/>
    <xf numFmtId="4" fontId="21" fillId="0" borderId="3" xfId="41" applyNumberFormat="1" applyFont="1" applyBorder="1" applyAlignment="1">
      <alignment horizontal="left" vertical="top"/>
    </xf>
    <xf numFmtId="4" fontId="21" fillId="0" borderId="3" xfId="41" applyNumberFormat="1" applyFont="1" applyBorder="1" applyAlignment="1">
      <alignment horizontal="right" vertical="top"/>
    </xf>
    <xf numFmtId="4" fontId="21" fillId="0" borderId="0" xfId="41" applyNumberFormat="1" applyFont="1" applyAlignment="1">
      <alignment horizontal="left" vertical="top"/>
    </xf>
    <xf numFmtId="4" fontId="21" fillId="0" borderId="0" xfId="41" applyNumberFormat="1" applyFont="1" applyAlignment="1">
      <alignment horizontal="right" vertical="top"/>
    </xf>
    <xf numFmtId="4" fontId="2" fillId="0" borderId="4" xfId="41" applyNumberFormat="1" applyFont="1" applyBorder="1" applyAlignment="1">
      <alignment horizontal="left" vertical="top"/>
    </xf>
    <xf numFmtId="0" fontId="2" fillId="0" borderId="4" xfId="41" applyFont="1" applyBorder="1" applyAlignment="1">
      <alignment horizontal="left" vertical="top" wrapText="1"/>
    </xf>
    <xf numFmtId="4" fontId="2" fillId="0" borderId="4" xfId="41" applyNumberFormat="1" applyFont="1" applyBorder="1" applyAlignment="1">
      <alignment horizontal="right" vertical="top"/>
    </xf>
    <xf numFmtId="4" fontId="2" fillId="0" borderId="0" xfId="41" applyNumberFormat="1" applyFont="1" applyAlignment="1">
      <alignment horizontal="left" vertical="top"/>
    </xf>
    <xf numFmtId="4" fontId="2" fillId="0" borderId="0" xfId="41" applyNumberFormat="1" applyFont="1" applyAlignment="1">
      <alignment horizontal="right" vertical="top"/>
    </xf>
    <xf numFmtId="4" fontId="21" fillId="0" borderId="5" xfId="41" applyNumberFormat="1" applyFont="1" applyBorder="1" applyAlignment="1">
      <alignment horizontal="left" vertical="top"/>
    </xf>
    <xf numFmtId="4" fontId="21" fillId="0" borderId="6" xfId="41" applyNumberFormat="1" applyFont="1" applyBorder="1" applyAlignment="1">
      <alignment horizontal="left" vertical="top"/>
    </xf>
    <xf numFmtId="4" fontId="21" fillId="0" borderId="6" xfId="41" applyNumberFormat="1" applyFont="1" applyBorder="1" applyAlignment="1">
      <alignment horizontal="right" vertical="top"/>
    </xf>
    <xf numFmtId="4" fontId="29" fillId="0" borderId="0" xfId="41" applyNumberFormat="1" applyFont="1" applyAlignment="1">
      <alignment horizontal="left" vertical="top"/>
    </xf>
    <xf numFmtId="4" fontId="30" fillId="0" borderId="0" xfId="41" applyNumberFormat="1" applyFont="1" applyAlignment="1">
      <alignment horizontal="right" vertical="top"/>
    </xf>
    <xf numFmtId="4" fontId="30" fillId="0" borderId="0" xfId="41" applyNumberFormat="1" applyFont="1" applyAlignment="1">
      <alignment horizontal="left" vertical="top"/>
    </xf>
    <xf numFmtId="0" fontId="30" fillId="0" borderId="0" xfId="41" applyFont="1" applyAlignment="1">
      <alignment horizontal="left" vertical="top" wrapText="1"/>
    </xf>
    <xf numFmtId="0" fontId="30" fillId="0" borderId="0" xfId="41" applyFont="1"/>
    <xf numFmtId="0" fontId="27" fillId="0" borderId="0" xfId="43" applyFont="1"/>
    <xf numFmtId="0" fontId="27" fillId="0" borderId="0" xfId="43" applyFont="1" applyAlignment="1">
      <alignment horizontal="center" vertical="top"/>
    </xf>
    <xf numFmtId="4" fontId="27" fillId="0" borderId="0" xfId="43" applyNumberFormat="1" applyFont="1" applyAlignment="1">
      <alignment horizontal="center" vertical="top"/>
    </xf>
    <xf numFmtId="0" fontId="27" fillId="0" borderId="0" xfId="43" applyFont="1" applyAlignment="1">
      <alignment horizontal="right" vertical="top"/>
    </xf>
    <xf numFmtId="0" fontId="27" fillId="0" borderId="0" xfId="43" applyFont="1" applyAlignment="1">
      <alignment vertical="top"/>
    </xf>
    <xf numFmtId="0" fontId="28" fillId="0" borderId="3" xfId="43" applyFont="1" applyBorder="1" applyAlignment="1">
      <alignment horizontal="left" vertical="top"/>
    </xf>
    <xf numFmtId="4" fontId="28" fillId="0" borderId="3" xfId="43" applyNumberFormat="1" applyFont="1" applyBorder="1" applyAlignment="1">
      <alignment horizontal="left" vertical="top"/>
    </xf>
    <xf numFmtId="4" fontId="28" fillId="0" borderId="0" xfId="43" applyNumberFormat="1" applyFont="1" applyAlignment="1">
      <alignment horizontal="left" vertical="top"/>
    </xf>
    <xf numFmtId="4" fontId="28" fillId="0" borderId="0" xfId="43" applyNumberFormat="1" applyFont="1" applyAlignment="1">
      <alignment horizontal="center" vertical="top"/>
    </xf>
    <xf numFmtId="4" fontId="28" fillId="0" borderId="0" xfId="43" applyNumberFormat="1" applyFont="1" applyAlignment="1">
      <alignment horizontal="right" vertical="top"/>
    </xf>
    <xf numFmtId="4" fontId="27" fillId="0" borderId="0" xfId="43" applyNumberFormat="1" applyFont="1" applyAlignment="1">
      <alignment horizontal="left" vertical="top"/>
    </xf>
    <xf numFmtId="4" fontId="27" fillId="0" borderId="0" xfId="43" applyNumberFormat="1" applyFont="1" applyAlignment="1">
      <alignment horizontal="right" vertical="top"/>
    </xf>
    <xf numFmtId="4" fontId="27" fillId="0" borderId="7" xfId="43" applyNumberFormat="1" applyFont="1" applyBorder="1" applyAlignment="1">
      <alignment horizontal="left" vertical="top"/>
    </xf>
    <xf numFmtId="0" fontId="27" fillId="0" borderId="7" xfId="43" applyFont="1" applyBorder="1" applyAlignment="1">
      <alignment horizontal="left" vertical="top" wrapText="1"/>
    </xf>
    <xf numFmtId="0" fontId="27" fillId="0" borderId="7" xfId="43" applyFont="1" applyBorder="1" applyAlignment="1">
      <alignment horizontal="center" vertical="top" wrapText="1"/>
    </xf>
    <xf numFmtId="4" fontId="27" fillId="0" borderId="7" xfId="43" applyNumberFormat="1" applyFont="1" applyBorder="1" applyAlignment="1">
      <alignment horizontal="right" vertical="top"/>
    </xf>
    <xf numFmtId="4" fontId="28" fillId="0" borderId="5" xfId="43" applyNumberFormat="1" applyFont="1" applyBorder="1" applyAlignment="1">
      <alignment horizontal="left" vertical="top"/>
    </xf>
    <xf numFmtId="4" fontId="28" fillId="0" borderId="6" xfId="43" applyNumberFormat="1" applyFont="1" applyBorder="1" applyAlignment="1">
      <alignment horizontal="left" vertical="top"/>
    </xf>
    <xf numFmtId="4" fontId="28" fillId="0" borderId="6" xfId="43" applyNumberFormat="1" applyFont="1" applyBorder="1" applyAlignment="1">
      <alignment horizontal="center" vertical="top"/>
    </xf>
    <xf numFmtId="4" fontId="28" fillId="0" borderId="8" xfId="43" applyNumberFormat="1" applyFont="1" applyBorder="1" applyAlignment="1">
      <alignment horizontal="right" vertical="top"/>
    </xf>
    <xf numFmtId="4" fontId="28" fillId="0" borderId="0" xfId="43" applyNumberFormat="1" applyFont="1" applyAlignment="1">
      <alignment horizontal="left" vertical="top" wrapText="1"/>
    </xf>
    <xf numFmtId="0" fontId="28" fillId="0" borderId="0" xfId="43" applyFont="1" applyAlignment="1">
      <alignment horizontal="left" vertical="top" wrapText="1"/>
    </xf>
    <xf numFmtId="4" fontId="27" fillId="0" borderId="0" xfId="42" applyNumberFormat="1" applyFont="1" applyAlignment="1">
      <alignment vertical="top"/>
    </xf>
    <xf numFmtId="4" fontId="27" fillId="0" borderId="0" xfId="0" applyNumberFormat="1" applyFont="1" applyAlignment="1">
      <alignment horizontal="left" vertical="top"/>
    </xf>
    <xf numFmtId="4" fontId="27" fillId="0" borderId="0" xfId="0" applyNumberFormat="1" applyFont="1" applyAlignment="1">
      <alignment horizontal="right" vertical="top"/>
    </xf>
    <xf numFmtId="0" fontId="27" fillId="0" borderId="0" xfId="0" applyFont="1" applyAlignment="1">
      <alignment vertical="top"/>
    </xf>
    <xf numFmtId="0" fontId="27" fillId="0" borderId="0" xfId="0" applyFont="1"/>
    <xf numFmtId="0" fontId="27" fillId="0" borderId="7" xfId="42" applyFont="1" applyBorder="1" applyAlignment="1">
      <alignment horizontal="left" vertical="top" wrapText="1"/>
    </xf>
    <xf numFmtId="0" fontId="27" fillId="0" borderId="0" xfId="42" applyFont="1" applyAlignment="1">
      <alignment wrapText="1"/>
    </xf>
    <xf numFmtId="0" fontId="27" fillId="0" borderId="0" xfId="50" applyFont="1" applyAlignment="1">
      <alignment horizontal="left" vertical="top" wrapText="1"/>
    </xf>
    <xf numFmtId="4" fontId="27" fillId="0" borderId="0" xfId="0" applyNumberFormat="1" applyFont="1" applyAlignment="1">
      <alignment vertical="top"/>
    </xf>
    <xf numFmtId="4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4" fontId="27" fillId="0" borderId="0" xfId="43" applyNumberFormat="1" applyFont="1" applyAlignment="1">
      <alignment vertical="top"/>
    </xf>
    <xf numFmtId="4" fontId="27" fillId="0" borderId="7" xfId="0" applyNumberFormat="1" applyFont="1" applyBorder="1" applyAlignment="1">
      <alignment horizontal="left" vertical="top"/>
    </xf>
    <xf numFmtId="0" fontId="27" fillId="0" borderId="7" xfId="0" applyFont="1" applyBorder="1" applyAlignment="1">
      <alignment horizontal="left" vertical="top" wrapText="1"/>
    </xf>
    <xf numFmtId="0" fontId="27" fillId="0" borderId="7" xfId="50" applyFont="1" applyBorder="1" applyAlignment="1">
      <alignment horizontal="left" vertical="top" wrapText="1"/>
    </xf>
    <xf numFmtId="4" fontId="21" fillId="17" borderId="6" xfId="41" applyNumberFormat="1" applyFont="1" applyFill="1" applyBorder="1" applyAlignment="1">
      <alignment horizontal="right" vertical="top"/>
    </xf>
    <xf numFmtId="4" fontId="21" fillId="17" borderId="8" xfId="41" applyNumberFormat="1" applyFont="1" applyFill="1" applyBorder="1" applyAlignment="1">
      <alignment horizontal="right" vertical="top"/>
    </xf>
    <xf numFmtId="4" fontId="21" fillId="17" borderId="0" xfId="41" applyNumberFormat="1" applyFont="1" applyFill="1" applyAlignment="1">
      <alignment horizontal="right" vertical="top"/>
    </xf>
    <xf numFmtId="4" fontId="2" fillId="17" borderId="0" xfId="41" applyNumberFormat="1" applyFont="1" applyFill="1" applyAlignment="1">
      <alignment horizontal="right" vertical="top"/>
    </xf>
    <xf numFmtId="4" fontId="30" fillId="17" borderId="0" xfId="41" applyNumberFormat="1" applyFont="1" applyFill="1" applyAlignment="1">
      <alignment horizontal="right" vertical="top"/>
    </xf>
    <xf numFmtId="4" fontId="21" fillId="18" borderId="6" xfId="41" applyNumberFormat="1" applyFont="1" applyFill="1" applyBorder="1" applyAlignment="1">
      <alignment horizontal="right" vertical="top"/>
    </xf>
    <xf numFmtId="4" fontId="21" fillId="18" borderId="8" xfId="41" applyNumberFormat="1" applyFont="1" applyFill="1" applyBorder="1" applyAlignment="1">
      <alignment horizontal="right" vertical="top"/>
    </xf>
    <xf numFmtId="4" fontId="21" fillId="18" borderId="0" xfId="41" applyNumberFormat="1" applyFont="1" applyFill="1" applyAlignment="1">
      <alignment horizontal="right" vertical="top"/>
    </xf>
    <xf numFmtId="4" fontId="2" fillId="18" borderId="0" xfId="41" applyNumberFormat="1" applyFont="1" applyFill="1" applyAlignment="1">
      <alignment horizontal="right" vertical="top"/>
    </xf>
    <xf numFmtId="4" fontId="30" fillId="18" borderId="0" xfId="41" applyNumberFormat="1" applyFont="1" applyFill="1" applyAlignment="1">
      <alignment horizontal="right" vertical="top"/>
    </xf>
    <xf numFmtId="39" fontId="17" fillId="0" borderId="0" xfId="41" applyNumberFormat="1" applyFont="1" applyAlignment="1">
      <alignment horizontal="left" vertical="center" wrapText="1"/>
    </xf>
    <xf numFmtId="4" fontId="30" fillId="0" borderId="7" xfId="41" applyNumberFormat="1" applyFont="1" applyBorder="1" applyAlignment="1">
      <alignment horizontal="left" vertical="top"/>
    </xf>
    <xf numFmtId="0" fontId="30" fillId="0" borderId="7" xfId="41" applyFont="1" applyBorder="1" applyAlignment="1">
      <alignment horizontal="left" vertical="top" wrapText="1"/>
    </xf>
    <xf numFmtId="4" fontId="30" fillId="0" borderId="7" xfId="41" applyNumberFormat="1" applyFont="1" applyBorder="1" applyAlignment="1">
      <alignment horizontal="right" vertical="top"/>
    </xf>
    <xf numFmtId="4" fontId="30" fillId="18" borderId="7" xfId="41" applyNumberFormat="1" applyFont="1" applyFill="1" applyBorder="1" applyAlignment="1">
      <alignment horizontal="right" vertical="top"/>
    </xf>
    <xf numFmtId="4" fontId="30" fillId="17" borderId="7" xfId="41" applyNumberFormat="1" applyFont="1" applyFill="1" applyBorder="1" applyAlignment="1">
      <alignment horizontal="right" vertical="top"/>
    </xf>
    <xf numFmtId="4" fontId="31" fillId="18" borderId="0" xfId="41" applyNumberFormat="1" applyFont="1" applyFill="1" applyAlignment="1">
      <alignment horizontal="right" vertical="top"/>
    </xf>
    <xf numFmtId="4" fontId="31" fillId="18" borderId="7" xfId="41" applyNumberFormat="1" applyFont="1" applyFill="1" applyBorder="1" applyAlignment="1">
      <alignment horizontal="right" vertical="top"/>
    </xf>
    <xf numFmtId="4" fontId="31" fillId="0" borderId="0" xfId="41" applyNumberFormat="1" applyFont="1" applyAlignment="1">
      <alignment horizontal="left" vertical="top"/>
    </xf>
    <xf numFmtId="0" fontId="31" fillId="0" borderId="0" xfId="41" applyFont="1" applyAlignment="1">
      <alignment horizontal="left" vertical="top" wrapText="1"/>
    </xf>
    <xf numFmtId="4" fontId="31" fillId="0" borderId="0" xfId="41" applyNumberFormat="1" applyFont="1" applyAlignment="1">
      <alignment horizontal="right" vertical="top"/>
    </xf>
    <xf numFmtId="4" fontId="31" fillId="17" borderId="0" xfId="41" applyNumberFormat="1" applyFont="1" applyFill="1" applyAlignment="1">
      <alignment horizontal="right" vertical="top"/>
    </xf>
    <xf numFmtId="4" fontId="31" fillId="0" borderId="7" xfId="41" applyNumberFormat="1" applyFont="1" applyBorder="1" applyAlignment="1">
      <alignment horizontal="left" vertical="top"/>
    </xf>
    <xf numFmtId="0" fontId="31" fillId="0" borderId="7" xfId="41" applyFont="1" applyBorder="1" applyAlignment="1">
      <alignment horizontal="left" vertical="top" wrapText="1"/>
    </xf>
    <xf numFmtId="4" fontId="31" fillId="0" borderId="7" xfId="41" applyNumberFormat="1" applyFont="1" applyBorder="1" applyAlignment="1">
      <alignment horizontal="right" vertical="top"/>
    </xf>
    <xf numFmtId="4" fontId="31" fillId="17" borderId="7" xfId="41" applyNumberFormat="1" applyFont="1" applyFill="1" applyBorder="1" applyAlignment="1">
      <alignment horizontal="right" vertical="top"/>
    </xf>
    <xf numFmtId="4" fontId="30" fillId="19" borderId="0" xfId="41" applyNumberFormat="1" applyFont="1" applyFill="1" applyAlignment="1">
      <alignment horizontal="right" vertical="top"/>
    </xf>
    <xf numFmtId="0" fontId="2" fillId="20" borderId="0" xfId="41" applyFont="1" applyFill="1"/>
    <xf numFmtId="4" fontId="21" fillId="20" borderId="0" xfId="41" applyNumberFormat="1" applyFont="1" applyFill="1" applyAlignment="1">
      <alignment horizontal="left" vertical="top"/>
    </xf>
    <xf numFmtId="4" fontId="19" fillId="20" borderId="0" xfId="41" applyNumberFormat="1" applyFont="1" applyFill="1" applyAlignment="1">
      <alignment horizontal="left" vertical="top"/>
    </xf>
    <xf numFmtId="4" fontId="2" fillId="20" borderId="0" xfId="41" applyNumberFormat="1" applyFont="1" applyFill="1" applyAlignment="1">
      <alignment horizontal="right" vertical="top"/>
    </xf>
    <xf numFmtId="4" fontId="21" fillId="20" borderId="0" xfId="41" applyNumberFormat="1" applyFont="1" applyFill="1" applyAlignment="1">
      <alignment horizontal="right" vertical="top"/>
    </xf>
    <xf numFmtId="0" fontId="2" fillId="21" borderId="0" xfId="41" applyFont="1" applyFill="1"/>
    <xf numFmtId="4" fontId="21" fillId="21" borderId="0" xfId="41" applyNumberFormat="1" applyFont="1" applyFill="1" applyAlignment="1">
      <alignment horizontal="left" vertical="top"/>
    </xf>
    <xf numFmtId="4" fontId="19" fillId="21" borderId="0" xfId="41" applyNumberFormat="1" applyFont="1" applyFill="1" applyAlignment="1">
      <alignment horizontal="left" vertical="top"/>
    </xf>
    <xf numFmtId="4" fontId="2" fillId="21" borderId="0" xfId="41" applyNumberFormat="1" applyFont="1" applyFill="1" applyAlignment="1">
      <alignment horizontal="right" vertical="top"/>
    </xf>
    <xf numFmtId="4" fontId="21" fillId="21" borderId="0" xfId="41" applyNumberFormat="1" applyFont="1" applyFill="1" applyAlignment="1">
      <alignment horizontal="right" vertical="top"/>
    </xf>
    <xf numFmtId="0" fontId="2" fillId="22" borderId="0" xfId="41" applyFont="1" applyFill="1"/>
    <xf numFmtId="4" fontId="21" fillId="22" borderId="0" xfId="41" applyNumberFormat="1" applyFont="1" applyFill="1" applyAlignment="1">
      <alignment horizontal="left" vertical="top"/>
    </xf>
    <xf numFmtId="4" fontId="19" fillId="22" borderId="0" xfId="41" applyNumberFormat="1" applyFont="1" applyFill="1" applyAlignment="1">
      <alignment horizontal="left" vertical="top"/>
    </xf>
    <xf numFmtId="4" fontId="2" fillId="22" borderId="0" xfId="41" applyNumberFormat="1" applyFont="1" applyFill="1" applyAlignment="1">
      <alignment horizontal="right" vertical="top"/>
    </xf>
    <xf numFmtId="4" fontId="21" fillId="22" borderId="0" xfId="41" applyNumberFormat="1" applyFont="1" applyFill="1" applyAlignment="1">
      <alignment horizontal="right" vertical="top"/>
    </xf>
    <xf numFmtId="0" fontId="19" fillId="0" borderId="0" xfId="41" applyFont="1"/>
    <xf numFmtId="0" fontId="27" fillId="0" borderId="0" xfId="41" applyFont="1"/>
    <xf numFmtId="166" fontId="28" fillId="0" borderId="0" xfId="41" applyNumberFormat="1" applyFont="1"/>
    <xf numFmtId="0" fontId="28" fillId="0" borderId="0" xfId="41" applyFont="1"/>
    <xf numFmtId="0" fontId="28" fillId="0" borderId="0" xfId="43" applyFont="1" applyAlignment="1">
      <alignment vertical="top"/>
    </xf>
    <xf numFmtId="0" fontId="28" fillId="0" borderId="0" xfId="43" applyFont="1"/>
    <xf numFmtId="0" fontId="2" fillId="0" borderId="0" xfId="41" applyFont="1" applyAlignment="1">
      <alignment horizontal="left" vertical="top" wrapText="1"/>
    </xf>
    <xf numFmtId="4" fontId="2" fillId="0" borderId="0" xfId="41" applyNumberFormat="1" applyFont="1" applyAlignment="1">
      <alignment horizontal="right" vertical="top" wrapText="1"/>
    </xf>
    <xf numFmtId="4" fontId="13" fillId="0" borderId="0" xfId="41" applyNumberFormat="1" applyAlignment="1">
      <alignment horizontal="right" vertical="top"/>
    </xf>
    <xf numFmtId="0" fontId="2" fillId="0" borderId="0" xfId="41" applyFont="1" applyAlignment="1">
      <alignment horizontal="right" vertical="top" wrapText="1"/>
    </xf>
    <xf numFmtId="0" fontId="17" fillId="0" borderId="0" xfId="49" applyFont="1" applyAlignment="1">
      <alignment horizontal="left" vertical="top" wrapText="1"/>
    </xf>
    <xf numFmtId="0" fontId="27" fillId="0" borderId="4" xfId="43" applyFont="1" applyBorder="1"/>
    <xf numFmtId="0" fontId="25" fillId="0" borderId="0" xfId="49" applyFont="1" applyAlignment="1">
      <alignment horizontal="left" vertical="top" wrapText="1"/>
    </xf>
    <xf numFmtId="49" fontId="25" fillId="0" borderId="0" xfId="49" applyNumberFormat="1" applyFont="1" applyAlignment="1">
      <alignment horizontal="left" vertical="top" wrapText="1"/>
    </xf>
    <xf numFmtId="0" fontId="2" fillId="0" borderId="4" xfId="41" applyFont="1" applyBorder="1"/>
    <xf numFmtId="0" fontId="2" fillId="0" borderId="7" xfId="41" applyFont="1" applyBorder="1"/>
    <xf numFmtId="3" fontId="32" fillId="0" borderId="0" xfId="41" applyNumberFormat="1" applyFont="1" applyAlignment="1">
      <alignment horizontal="right" vertical="top"/>
    </xf>
    <xf numFmtId="0" fontId="2" fillId="0" borderId="0" xfId="41" applyFont="1" applyAlignment="1">
      <alignment horizontal="right"/>
    </xf>
    <xf numFmtId="4" fontId="13" fillId="23" borderId="0" xfId="41" applyNumberFormat="1" applyFill="1" applyAlignment="1">
      <alignment horizontal="right" vertical="top" wrapText="1"/>
    </xf>
    <xf numFmtId="4" fontId="13" fillId="23" borderId="3" xfId="41" applyNumberFormat="1" applyFill="1" applyBorder="1" applyAlignment="1">
      <alignment horizontal="right" vertical="top"/>
    </xf>
    <xf numFmtId="4" fontId="13" fillId="23" borderId="0" xfId="41" applyNumberFormat="1" applyFill="1" applyAlignment="1">
      <alignment horizontal="right" vertical="top"/>
    </xf>
    <xf numFmtId="4" fontId="26" fillId="0" borderId="4" xfId="41" applyNumberFormat="1" applyFont="1" applyBorder="1" applyAlignment="1">
      <alignment horizontal="right" vertical="top"/>
    </xf>
    <xf numFmtId="0" fontId="33" fillId="0" borderId="0" xfId="41" applyFont="1" applyAlignment="1">
      <alignment horizontal="left" vertical="top" wrapText="1"/>
    </xf>
    <xf numFmtId="4" fontId="13" fillId="0" borderId="0" xfId="41" applyNumberFormat="1" applyAlignment="1">
      <alignment horizontal="left" vertical="top"/>
    </xf>
    <xf numFmtId="4" fontId="34" fillId="0" borderId="9" xfId="41" applyNumberFormat="1" applyFont="1" applyBorder="1" applyAlignment="1">
      <alignment horizontal="left"/>
    </xf>
    <xf numFmtId="4" fontId="35" fillId="0" borderId="9" xfId="41" applyNumberFormat="1" applyFont="1" applyBorder="1" applyAlignment="1">
      <alignment horizontal="right"/>
    </xf>
    <xf numFmtId="165" fontId="35" fillId="0" borderId="9" xfId="41" applyNumberFormat="1" applyFont="1" applyBorder="1"/>
    <xf numFmtId="0" fontId="35" fillId="0" borderId="9" xfId="41" applyFont="1" applyBorder="1"/>
    <xf numFmtId="4" fontId="35" fillId="0" borderId="9" xfId="41" applyNumberFormat="1" applyFont="1" applyBorder="1" applyAlignment="1">
      <alignment horizontal="left"/>
    </xf>
    <xf numFmtId="4" fontId="13" fillId="25" borderId="9" xfId="41" applyNumberFormat="1" applyFill="1" applyBorder="1" applyAlignment="1">
      <alignment horizontal="left"/>
    </xf>
    <xf numFmtId="4" fontId="13" fillId="25" borderId="9" xfId="41" applyNumberFormat="1" applyFill="1" applyBorder="1" applyAlignment="1">
      <alignment horizontal="left" wrapText="1"/>
    </xf>
    <xf numFmtId="4" fontId="13" fillId="25" borderId="9" xfId="41" applyNumberFormat="1" applyFill="1" applyBorder="1" applyAlignment="1">
      <alignment horizontal="right"/>
    </xf>
    <xf numFmtId="165" fontId="13" fillId="25" borderId="9" xfId="41" applyNumberFormat="1" applyFill="1" applyBorder="1"/>
    <xf numFmtId="0" fontId="13" fillId="25" borderId="9" xfId="41" applyFill="1" applyBorder="1"/>
    <xf numFmtId="0" fontId="19" fillId="24" borderId="0" xfId="41" applyFont="1" applyFill="1" applyAlignment="1">
      <alignment vertical="center"/>
    </xf>
    <xf numFmtId="4" fontId="21" fillId="0" borderId="0" xfId="41" applyNumberFormat="1" applyFont="1" applyAlignment="1">
      <alignment horizontal="left" vertical="center"/>
    </xf>
    <xf numFmtId="4" fontId="21" fillId="0" borderId="0" xfId="41" applyNumberFormat="1" applyFont="1" applyAlignment="1">
      <alignment horizontal="right" vertical="center"/>
    </xf>
    <xf numFmtId="0" fontId="2" fillId="0" borderId="0" xfId="41" applyFont="1" applyAlignment="1">
      <alignment vertical="center"/>
    </xf>
    <xf numFmtId="4" fontId="13" fillId="0" borderId="9" xfId="41" applyNumberFormat="1" applyBorder="1" applyAlignment="1">
      <alignment horizontal="left"/>
    </xf>
    <xf numFmtId="4" fontId="13" fillId="0" borderId="9" xfId="41" applyNumberFormat="1" applyBorder="1" applyAlignment="1">
      <alignment horizontal="left" wrapText="1"/>
    </xf>
    <xf numFmtId="4" fontId="13" fillId="0" borderId="9" xfId="41" applyNumberFormat="1" applyBorder="1" applyAlignment="1">
      <alignment horizontal="right"/>
    </xf>
    <xf numFmtId="165" fontId="13" fillId="0" borderId="9" xfId="41" applyNumberFormat="1" applyBorder="1"/>
    <xf numFmtId="0" fontId="13" fillId="0" borderId="9" xfId="41" applyBorder="1"/>
    <xf numFmtId="4" fontId="36" fillId="0" borderId="9" xfId="41" applyNumberFormat="1" applyFont="1" applyBorder="1" applyAlignment="1">
      <alignment horizontal="left"/>
    </xf>
    <xf numFmtId="165" fontId="19" fillId="0" borderId="9" xfId="41" applyNumberFormat="1" applyFont="1" applyBorder="1"/>
    <xf numFmtId="0" fontId="2" fillId="25" borderId="0" xfId="41" applyFont="1" applyFill="1"/>
    <xf numFmtId="0" fontId="19" fillId="25" borderId="0" xfId="41" applyFont="1" applyFill="1"/>
    <xf numFmtId="0" fontId="0" fillId="26" borderId="11" xfId="0" applyFill="1" applyBorder="1" applyAlignment="1">
      <alignment vertical="center" wrapText="1"/>
    </xf>
    <xf numFmtId="0" fontId="0" fillId="26" borderId="13" xfId="0" applyFill="1" applyBorder="1" applyAlignment="1">
      <alignment vertical="center" wrapText="1"/>
    </xf>
    <xf numFmtId="0" fontId="19" fillId="0" borderId="9" xfId="41" applyFont="1" applyBorder="1" applyAlignment="1">
      <alignment horizontal="right" vertical="center" wrapText="1"/>
    </xf>
    <xf numFmtId="0" fontId="13" fillId="0" borderId="9" xfId="41" applyBorder="1" applyAlignment="1">
      <alignment horizontal="right" vertical="center" wrapText="1"/>
    </xf>
    <xf numFmtId="4" fontId="19" fillId="0" borderId="9" xfId="41" applyNumberFormat="1" applyFont="1" applyBorder="1" applyAlignment="1">
      <alignment horizontal="right" vertical="center" wrapText="1"/>
    </xf>
    <xf numFmtId="0" fontId="19" fillId="0" borderId="9" xfId="41" applyFont="1" applyBorder="1" applyAlignment="1">
      <alignment horizontal="left" vertical="center" wrapText="1"/>
    </xf>
    <xf numFmtId="2" fontId="2" fillId="0" borderId="9" xfId="41" applyNumberFormat="1" applyFont="1" applyBorder="1"/>
    <xf numFmtId="0" fontId="0" fillId="26" borderId="16" xfId="0" applyFill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2" fontId="0" fillId="26" borderId="13" xfId="0" applyNumberFormat="1" applyFill="1" applyBorder="1" applyAlignment="1">
      <alignment horizontal="right" vertical="center" wrapText="1"/>
    </xf>
    <xf numFmtId="2" fontId="0" fillId="26" borderId="13" xfId="0" applyNumberFormat="1" applyFill="1" applyBorder="1" applyAlignment="1">
      <alignment vertical="center" wrapText="1"/>
    </xf>
    <xf numFmtId="2" fontId="0" fillId="26" borderId="14" xfId="0" applyNumberFormat="1" applyFill="1" applyBorder="1" applyAlignment="1">
      <alignment vertical="center" wrapText="1"/>
    </xf>
    <xf numFmtId="2" fontId="2" fillId="0" borderId="15" xfId="41" applyNumberFormat="1" applyFont="1" applyBorder="1"/>
    <xf numFmtId="2" fontId="0" fillId="26" borderId="11" xfId="0" applyNumberFormat="1" applyFill="1" applyBorder="1" applyAlignment="1">
      <alignment horizontal="right" vertical="center" wrapText="1"/>
    </xf>
    <xf numFmtId="2" fontId="0" fillId="26" borderId="11" xfId="0" applyNumberFormat="1" applyFill="1" applyBorder="1" applyAlignment="1">
      <alignment vertical="center" wrapText="1"/>
    </xf>
    <xf numFmtId="2" fontId="0" fillId="26" borderId="12" xfId="0" applyNumberFormat="1" applyFill="1" applyBorder="1" applyAlignment="1">
      <alignment vertical="center" wrapText="1"/>
    </xf>
    <xf numFmtId="2" fontId="0" fillId="26" borderId="16" xfId="0" applyNumberFormat="1" applyFill="1" applyBorder="1" applyAlignment="1">
      <alignment horizontal="right" vertical="center" wrapText="1"/>
    </xf>
    <xf numFmtId="2" fontId="0" fillId="26" borderId="16" xfId="0" applyNumberFormat="1" applyFill="1" applyBorder="1" applyAlignment="1">
      <alignment vertical="center" wrapText="1"/>
    </xf>
    <xf numFmtId="2" fontId="0" fillId="26" borderId="17" xfId="0" applyNumberFormat="1" applyFill="1" applyBorder="1" applyAlignment="1">
      <alignment vertical="center" wrapText="1"/>
    </xf>
    <xf numFmtId="2" fontId="2" fillId="0" borderId="18" xfId="41" applyNumberFormat="1" applyFont="1" applyBorder="1"/>
    <xf numFmtId="2" fontId="2" fillId="0" borderId="0" xfId="41" applyNumberFormat="1" applyFont="1"/>
    <xf numFmtId="0" fontId="4" fillId="0" borderId="0" xfId="0" applyFont="1"/>
    <xf numFmtId="0" fontId="2" fillId="0" borderId="9" xfId="41" applyFont="1" applyBorder="1" applyAlignment="1">
      <alignment wrapText="1"/>
    </xf>
    <xf numFmtId="49" fontId="28" fillId="0" borderId="0" xfId="41" applyNumberFormat="1" applyFont="1"/>
    <xf numFmtId="49" fontId="28" fillId="0" borderId="0" xfId="41" applyNumberFormat="1" applyFont="1" applyAlignment="1">
      <alignment vertical="top" wrapText="1"/>
    </xf>
    <xf numFmtId="49" fontId="28" fillId="0" borderId="0" xfId="41" applyNumberFormat="1" applyFont="1" applyAlignment="1">
      <alignment horizontal="left" vertical="top" wrapText="1"/>
    </xf>
    <xf numFmtId="0" fontId="27" fillId="0" borderId="0" xfId="43" applyFont="1" applyAlignment="1">
      <alignment horizontal="left" vertical="top" wrapText="1"/>
    </xf>
    <xf numFmtId="0" fontId="27" fillId="0" borderId="0" xfId="0" applyFont="1" applyAlignment="1">
      <alignment horizontal="left" vertical="top" wrapText="1"/>
    </xf>
    <xf numFmtId="0" fontId="27" fillId="0" borderId="0" xfId="42" applyFont="1" applyAlignment="1">
      <alignment horizontal="left" vertical="top" wrapText="1"/>
    </xf>
    <xf numFmtId="0" fontId="37" fillId="0" borderId="0" xfId="41" applyFont="1" applyAlignment="1">
      <alignment horizontal="center"/>
    </xf>
    <xf numFmtId="166" fontId="37" fillId="0" borderId="0" xfId="41" applyNumberFormat="1" applyFont="1" applyAlignment="1">
      <alignment horizontal="right"/>
    </xf>
    <xf numFmtId="0" fontId="37" fillId="0" borderId="0" xfId="43" applyFont="1" applyAlignment="1">
      <alignment horizontal="center" vertical="top"/>
    </xf>
    <xf numFmtId="4" fontId="37" fillId="0" borderId="0" xfId="43" applyNumberFormat="1" applyFont="1" applyAlignment="1">
      <alignment horizontal="center" vertical="top"/>
    </xf>
    <xf numFmtId="0" fontId="37" fillId="0" borderId="0" xfId="43" applyFont="1" applyAlignment="1">
      <alignment horizontal="right" vertical="top"/>
    </xf>
    <xf numFmtId="4" fontId="38" fillId="0" borderId="3" xfId="43" applyNumberFormat="1" applyFont="1" applyBorder="1" applyAlignment="1">
      <alignment horizontal="center" vertical="top"/>
    </xf>
    <xf numFmtId="4" fontId="38" fillId="0" borderId="3" xfId="43" applyNumberFormat="1" applyFont="1" applyBorder="1" applyAlignment="1">
      <alignment horizontal="right" vertical="top"/>
    </xf>
    <xf numFmtId="4" fontId="38" fillId="0" borderId="0" xfId="43" applyNumberFormat="1" applyFont="1" applyAlignment="1">
      <alignment horizontal="center" vertical="top"/>
    </xf>
    <xf numFmtId="4" fontId="38" fillId="0" borderId="0" xfId="43" applyNumberFormat="1" applyFont="1" applyAlignment="1">
      <alignment horizontal="right" vertical="top"/>
    </xf>
    <xf numFmtId="4" fontId="37" fillId="0" borderId="0" xfId="43" applyNumberFormat="1" applyFont="1" applyAlignment="1">
      <alignment horizontal="left" vertical="top"/>
    </xf>
    <xf numFmtId="4" fontId="37" fillId="0" borderId="0" xfId="43" applyNumberFormat="1" applyFont="1" applyAlignment="1">
      <alignment horizontal="right" vertical="top"/>
    </xf>
    <xf numFmtId="4" fontId="37" fillId="0" borderId="0" xfId="0" applyNumberFormat="1" applyFont="1" applyAlignment="1">
      <alignment horizontal="center" vertical="top"/>
    </xf>
    <xf numFmtId="4" fontId="37" fillId="0" borderId="0" xfId="0" applyNumberFormat="1" applyFont="1" applyAlignment="1">
      <alignment horizontal="right" vertical="top"/>
    </xf>
    <xf numFmtId="2" fontId="37" fillId="0" borderId="7" xfId="42" applyNumberFormat="1" applyFont="1" applyBorder="1" applyAlignment="1">
      <alignment horizontal="left" vertical="top"/>
    </xf>
    <xf numFmtId="0" fontId="15" fillId="0" borderId="0" xfId="49" applyFont="1"/>
    <xf numFmtId="4" fontId="15" fillId="0" borderId="0" xfId="49" applyNumberFormat="1" applyFont="1"/>
    <xf numFmtId="49" fontId="15" fillId="0" borderId="0" xfId="49" applyNumberFormat="1" applyFont="1" applyAlignment="1">
      <alignment horizontal="center" vertical="top"/>
    </xf>
    <xf numFmtId="0" fontId="15" fillId="0" borderId="0" xfId="49" applyFont="1" applyAlignment="1">
      <alignment horizontal="left" vertical="top" wrapText="1"/>
    </xf>
    <xf numFmtId="4" fontId="15" fillId="0" borderId="0" xfId="49" applyNumberFormat="1" applyFont="1" applyAlignment="1">
      <alignment vertical="center"/>
    </xf>
    <xf numFmtId="0" fontId="13" fillId="0" borderId="0" xfId="58" applyAlignment="1">
      <alignment horizontal="left" vertical="top" wrapText="1"/>
    </xf>
    <xf numFmtId="4" fontId="27" fillId="0" borderId="0" xfId="42" applyNumberFormat="1" applyFont="1" applyAlignment="1">
      <alignment horizontal="center" vertical="top"/>
    </xf>
    <xf numFmtId="4" fontId="27" fillId="0" borderId="0" xfId="42" applyNumberFormat="1" applyFont="1" applyAlignment="1">
      <alignment horizontal="right" vertical="top"/>
    </xf>
    <xf numFmtId="4" fontId="27" fillId="0" borderId="0" xfId="0" applyNumberFormat="1" applyFont="1" applyAlignment="1">
      <alignment horizontal="center" vertical="top"/>
    </xf>
    <xf numFmtId="4" fontId="27" fillId="0" borderId="7" xfId="42" applyNumberFormat="1" applyFont="1" applyBorder="1" applyAlignment="1">
      <alignment horizontal="center" vertical="top"/>
    </xf>
    <xf numFmtId="4" fontId="27" fillId="0" borderId="7" xfId="42" applyNumberFormat="1" applyFont="1" applyBorder="1" applyAlignment="1">
      <alignment horizontal="right" vertical="top"/>
    </xf>
    <xf numFmtId="4" fontId="27" fillId="0" borderId="7" xfId="43" applyNumberFormat="1" applyFont="1" applyBorder="1" applyAlignment="1">
      <alignment horizontal="center" vertical="top"/>
    </xf>
    <xf numFmtId="4" fontId="27" fillId="0" borderId="7" xfId="0" applyNumberFormat="1" applyFont="1" applyBorder="1" applyAlignment="1">
      <alignment horizontal="center" vertical="top"/>
    </xf>
    <xf numFmtId="4" fontId="27" fillId="0" borderId="7" xfId="0" applyNumberFormat="1" applyFont="1" applyBorder="1" applyAlignment="1">
      <alignment horizontal="right" vertical="top"/>
    </xf>
    <xf numFmtId="4" fontId="28" fillId="0" borderId="0" xfId="0" applyNumberFormat="1" applyFont="1" applyAlignment="1">
      <alignment horizontal="right" vertical="top"/>
    </xf>
    <xf numFmtId="0" fontId="27" fillId="0" borderId="4" xfId="43" applyFont="1" applyBorder="1" applyAlignment="1">
      <alignment horizontal="center" vertical="top"/>
    </xf>
    <xf numFmtId="4" fontId="27" fillId="0" borderId="4" xfId="43" applyNumberFormat="1" applyFont="1" applyBorder="1" applyAlignment="1">
      <alignment horizontal="center" vertical="top"/>
    </xf>
    <xf numFmtId="0" fontId="27" fillId="0" borderId="4" xfId="43" applyFont="1" applyBorder="1" applyAlignment="1">
      <alignment horizontal="right" vertical="top"/>
    </xf>
    <xf numFmtId="0" fontId="28" fillId="0" borderId="0" xfId="43" applyFont="1" applyAlignment="1">
      <alignment horizontal="center" vertical="top" wrapText="1"/>
    </xf>
    <xf numFmtId="4" fontId="28" fillId="0" borderId="0" xfId="43" applyNumberFormat="1" applyFont="1" applyAlignment="1">
      <alignment horizontal="right" vertical="top" wrapText="1"/>
    </xf>
    <xf numFmtId="4" fontId="27" fillId="0" borderId="0" xfId="44" applyNumberFormat="1" applyFont="1" applyAlignment="1">
      <alignment horizontal="center" vertical="top"/>
    </xf>
    <xf numFmtId="4" fontId="27" fillId="0" borderId="0" xfId="44" applyNumberFormat="1" applyFont="1" applyAlignment="1">
      <alignment horizontal="right" vertical="top"/>
    </xf>
    <xf numFmtId="0" fontId="37" fillId="0" borderId="0" xfId="43" applyFont="1"/>
    <xf numFmtId="0" fontId="27" fillId="0" borderId="0" xfId="41" applyFont="1" applyAlignment="1">
      <alignment horizontal="center"/>
    </xf>
    <xf numFmtId="166" fontId="27" fillId="0" borderId="0" xfId="41" applyNumberFormat="1" applyFont="1" applyAlignment="1">
      <alignment horizontal="right"/>
    </xf>
    <xf numFmtId="4" fontId="28" fillId="0" borderId="3" xfId="43" applyNumberFormat="1" applyFont="1" applyBorder="1" applyAlignment="1">
      <alignment horizontal="center" vertical="top"/>
    </xf>
    <xf numFmtId="4" fontId="28" fillId="0" borderId="3" xfId="43" applyNumberFormat="1" applyFont="1" applyBorder="1" applyAlignment="1">
      <alignment horizontal="right" vertical="top"/>
    </xf>
    <xf numFmtId="2" fontId="27" fillId="0" borderId="7" xfId="42" applyNumberFormat="1" applyFont="1" applyBorder="1" applyAlignment="1">
      <alignment horizontal="left" vertical="top"/>
    </xf>
    <xf numFmtId="0" fontId="37" fillId="0" borderId="0" xfId="43" applyFont="1" applyAlignment="1">
      <alignment vertical="top"/>
    </xf>
    <xf numFmtId="0" fontId="41" fillId="0" borderId="0" xfId="0" applyFont="1"/>
    <xf numFmtId="4" fontId="37" fillId="0" borderId="0" xfId="42" applyNumberFormat="1" applyFont="1" applyAlignment="1">
      <alignment vertical="top"/>
    </xf>
    <xf numFmtId="0" fontId="37" fillId="0" borderId="0" xfId="0" applyFont="1"/>
    <xf numFmtId="0" fontId="17" fillId="0" borderId="0" xfId="49" applyFont="1" applyAlignment="1">
      <alignment horizontal="left" vertical="top" wrapText="1"/>
    </xf>
    <xf numFmtId="0" fontId="24" fillId="22" borderId="0" xfId="41" applyFont="1" applyFill="1" applyAlignment="1">
      <alignment horizontal="center" vertical="center" textRotation="90"/>
    </xf>
    <xf numFmtId="0" fontId="24" fillId="22" borderId="7" xfId="41" applyFont="1" applyFill="1" applyBorder="1" applyAlignment="1">
      <alignment horizontal="center" vertical="center" textRotation="90"/>
    </xf>
    <xf numFmtId="0" fontId="23" fillId="24" borderId="0" xfId="41" applyFont="1" applyFill="1" applyAlignment="1">
      <alignment horizontal="center" vertical="center" textRotation="90" wrapText="1"/>
    </xf>
    <xf numFmtId="4" fontId="21" fillId="18" borderId="10" xfId="41" applyNumberFormat="1" applyFont="1" applyFill="1" applyBorder="1" applyAlignment="1">
      <alignment horizontal="center" vertical="top"/>
    </xf>
    <xf numFmtId="4" fontId="21" fillId="17" borderId="10" xfId="41" applyNumberFormat="1" applyFont="1" applyFill="1" applyBorder="1" applyAlignment="1">
      <alignment horizontal="center" vertical="top"/>
    </xf>
    <xf numFmtId="0" fontId="24" fillId="20" borderId="0" xfId="41" applyFont="1" applyFill="1" applyAlignment="1">
      <alignment horizontal="center" vertical="center" textRotation="90"/>
    </xf>
    <xf numFmtId="0" fontId="24" fillId="20" borderId="7" xfId="41" applyFont="1" applyFill="1" applyBorder="1" applyAlignment="1">
      <alignment horizontal="center" vertical="center" textRotation="90"/>
    </xf>
    <xf numFmtId="0" fontId="24" fillId="21" borderId="0" xfId="41" applyFont="1" applyFill="1" applyAlignment="1">
      <alignment horizontal="center" vertical="center" textRotation="90"/>
    </xf>
    <xf numFmtId="0" fontId="24" fillId="21" borderId="7" xfId="41" applyFont="1" applyFill="1" applyBorder="1" applyAlignment="1">
      <alignment horizontal="center" vertical="center" textRotation="90"/>
    </xf>
    <xf numFmtId="164" fontId="27" fillId="0" borderId="0" xfId="41" applyNumberFormat="1" applyFont="1" applyAlignment="1" applyProtection="1">
      <alignment horizontal="center"/>
      <protection locked="0"/>
    </xf>
    <xf numFmtId="0" fontId="27" fillId="0" borderId="0" xfId="43" applyFont="1" applyAlignment="1" applyProtection="1">
      <alignment horizontal="center" vertical="top"/>
      <protection locked="0"/>
    </xf>
    <xf numFmtId="4" fontId="28" fillId="0" borderId="3" xfId="43" applyNumberFormat="1" applyFont="1" applyBorder="1" applyAlignment="1" applyProtection="1">
      <alignment horizontal="center" vertical="top"/>
      <protection locked="0"/>
    </xf>
    <xf numFmtId="4" fontId="28" fillId="0" borderId="0" xfId="43" applyNumberFormat="1" applyFont="1" applyAlignment="1" applyProtection="1">
      <alignment horizontal="center" vertical="top"/>
      <protection locked="0"/>
    </xf>
    <xf numFmtId="4" fontId="27" fillId="0" borderId="0" xfId="43" applyNumberFormat="1" applyFont="1" applyAlignment="1" applyProtection="1">
      <alignment horizontal="center" vertical="top"/>
      <protection locked="0"/>
    </xf>
    <xf numFmtId="0" fontId="27" fillId="0" borderId="7" xfId="43" applyFont="1" applyBorder="1" applyAlignment="1" applyProtection="1">
      <alignment horizontal="center" vertical="top" wrapText="1"/>
      <protection locked="0"/>
    </xf>
    <xf numFmtId="4" fontId="28" fillId="0" borderId="6" xfId="43" applyNumberFormat="1" applyFont="1" applyBorder="1" applyAlignment="1" applyProtection="1">
      <alignment horizontal="center" vertical="top"/>
      <protection locked="0"/>
    </xf>
    <xf numFmtId="4" fontId="27" fillId="0" borderId="0" xfId="42" applyNumberFormat="1" applyFont="1" applyAlignment="1" applyProtection="1">
      <alignment horizontal="center" vertical="top"/>
      <protection locked="0"/>
    </xf>
    <xf numFmtId="4" fontId="27" fillId="0" borderId="0" xfId="0" applyNumberFormat="1" applyFont="1" applyAlignment="1" applyProtection="1">
      <alignment horizontal="center" vertical="top"/>
      <protection locked="0"/>
    </xf>
    <xf numFmtId="4" fontId="27" fillId="0" borderId="7" xfId="42" applyNumberFormat="1" applyFont="1" applyBorder="1" applyAlignment="1" applyProtection="1">
      <alignment horizontal="center" vertical="top"/>
      <protection locked="0"/>
    </xf>
    <xf numFmtId="4" fontId="27" fillId="0" borderId="0" xfId="44" applyNumberFormat="1" applyFont="1" applyAlignment="1" applyProtection="1">
      <alignment horizontal="center" vertical="top"/>
      <protection locked="0"/>
    </xf>
    <xf numFmtId="4" fontId="27" fillId="0" borderId="7" xfId="43" applyNumberFormat="1" applyFont="1" applyBorder="1" applyAlignment="1" applyProtection="1">
      <alignment horizontal="center" vertical="top"/>
      <protection locked="0"/>
    </xf>
    <xf numFmtId="4" fontId="27" fillId="0" borderId="7" xfId="0" applyNumberFormat="1" applyFont="1" applyBorder="1" applyAlignment="1" applyProtection="1">
      <alignment horizontal="center" vertical="top"/>
      <protection locked="0"/>
    </xf>
    <xf numFmtId="0" fontId="27" fillId="0" borderId="4" xfId="43" applyFont="1" applyBorder="1" applyAlignment="1" applyProtection="1">
      <alignment horizontal="center" vertical="top"/>
      <protection locked="0"/>
    </xf>
    <xf numFmtId="164" fontId="37" fillId="0" borderId="0" xfId="41" applyNumberFormat="1" applyFont="1" applyAlignment="1" applyProtection="1">
      <alignment horizontal="center"/>
      <protection locked="0"/>
    </xf>
    <xf numFmtId="0" fontId="37" fillId="0" borderId="0" xfId="43" applyFont="1" applyAlignment="1" applyProtection="1">
      <alignment horizontal="center" vertical="top"/>
      <protection locked="0"/>
    </xf>
    <xf numFmtId="4" fontId="38" fillId="0" borderId="3" xfId="43" applyNumberFormat="1" applyFont="1" applyBorder="1" applyAlignment="1" applyProtection="1">
      <alignment horizontal="center" vertical="top"/>
      <protection locked="0"/>
    </xf>
    <xf numFmtId="4" fontId="38" fillId="0" borderId="0" xfId="43" applyNumberFormat="1" applyFont="1" applyAlignment="1" applyProtection="1">
      <alignment horizontal="center" vertical="top"/>
      <protection locked="0"/>
    </xf>
    <xf numFmtId="4" fontId="37" fillId="0" borderId="0" xfId="43" applyNumberFormat="1" applyFont="1" applyAlignment="1" applyProtection="1">
      <alignment horizontal="center" vertical="top"/>
      <protection locked="0"/>
    </xf>
    <xf numFmtId="4" fontId="37" fillId="0" borderId="0" xfId="0" applyNumberFormat="1" applyFont="1" applyAlignment="1" applyProtection="1">
      <alignment horizontal="center" vertical="top"/>
      <protection locked="0"/>
    </xf>
    <xf numFmtId="4" fontId="15" fillId="0" borderId="2" xfId="49" applyNumberFormat="1" applyFont="1" applyBorder="1" applyAlignment="1" applyProtection="1">
      <alignment vertical="center"/>
      <protection locked="0"/>
    </xf>
  </cellXfs>
  <cellStyles count="68">
    <cellStyle name="20 % – Poudarek1" xfId="1" xr:uid="{00000000-0005-0000-0000-000000000000}"/>
    <cellStyle name="20 % – Poudarek2" xfId="2" xr:uid="{00000000-0005-0000-0000-000001000000}"/>
    <cellStyle name="20 % – Poudarek3" xfId="3" xr:uid="{00000000-0005-0000-0000-000002000000}"/>
    <cellStyle name="20 % – Poudarek4" xfId="4" xr:uid="{00000000-0005-0000-0000-000003000000}"/>
    <cellStyle name="20 % – Poudarek5" xfId="5" xr:uid="{00000000-0005-0000-0000-000004000000}"/>
    <cellStyle name="20 % – Poudarek6" xfId="6" xr:uid="{00000000-0005-0000-0000-000005000000}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 % – Poudarek1" xfId="13" xr:uid="{00000000-0005-0000-0000-00000C000000}"/>
    <cellStyle name="40 % – Poudarek2" xfId="14" xr:uid="{00000000-0005-0000-0000-00000D000000}"/>
    <cellStyle name="40 % – Poudarek3" xfId="15" xr:uid="{00000000-0005-0000-0000-00000E000000}"/>
    <cellStyle name="40 % – Poudarek4" xfId="16" xr:uid="{00000000-0005-0000-0000-00000F000000}"/>
    <cellStyle name="40 % – Poudarek5" xfId="17" xr:uid="{00000000-0005-0000-0000-000010000000}"/>
    <cellStyle name="40 % – Poudarek6" xfId="18" xr:uid="{00000000-0005-0000-0000-000011000000}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 % – Poudarek1" xfId="25" xr:uid="{00000000-0005-0000-0000-000018000000}"/>
    <cellStyle name="60 % – Poudarek2" xfId="26" xr:uid="{00000000-0005-0000-0000-000019000000}"/>
    <cellStyle name="60 % – Poudarek3" xfId="27" xr:uid="{00000000-0005-0000-0000-00001A000000}"/>
    <cellStyle name="60 % – Poudarek4" xfId="28" xr:uid="{00000000-0005-0000-0000-00001B000000}"/>
    <cellStyle name="60 % – Poudarek5" xfId="29" xr:uid="{00000000-0005-0000-0000-00001C000000}"/>
    <cellStyle name="60 % – Poudarek6" xfId="30" xr:uid="{00000000-0005-0000-0000-00001D000000}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Dobro" xfId="37" xr:uid="{00000000-0005-0000-0000-000024000000}"/>
    <cellStyle name="Good" xfId="38" xr:uid="{00000000-0005-0000-0000-000025000000}"/>
    <cellStyle name="Izhod" xfId="39" xr:uid="{00000000-0005-0000-0000-000026000000}"/>
    <cellStyle name="Naslov" xfId="40" xr:uid="{00000000-0005-0000-0000-000027000000}"/>
    <cellStyle name="Navadno" xfId="0" builtinId="0"/>
    <cellStyle name="Navadno 2" xfId="41" xr:uid="{00000000-0005-0000-0000-000029000000}"/>
    <cellStyle name="Navadno 2 2" xfId="42" xr:uid="{00000000-0005-0000-0000-00002A000000}"/>
    <cellStyle name="Navadno 2 2 2" xfId="66" xr:uid="{00000000-0005-0000-0000-00002B000000}"/>
    <cellStyle name="Navadno 2 2 2 2" xfId="61" xr:uid="{00000000-0005-0000-0000-00002C000000}"/>
    <cellStyle name="Navadno 2 3" xfId="56" xr:uid="{00000000-0005-0000-0000-00002D000000}"/>
    <cellStyle name="Navadno 2 4" xfId="64" xr:uid="{00000000-0005-0000-0000-00002E000000}"/>
    <cellStyle name="Navadno 2 5" xfId="63" xr:uid="{00000000-0005-0000-0000-00002F000000}"/>
    <cellStyle name="Navadno 3" xfId="58" xr:uid="{00000000-0005-0000-0000-000030000000}"/>
    <cellStyle name="Navadno 3 2" xfId="43" xr:uid="{00000000-0005-0000-0000-000031000000}"/>
    <cellStyle name="Navadno 3 2 2" xfId="44" xr:uid="{00000000-0005-0000-0000-000032000000}"/>
    <cellStyle name="Navadno 3 2 3" xfId="65" xr:uid="{00000000-0005-0000-0000-000033000000}"/>
    <cellStyle name="Navadno 3 3 2" xfId="59" xr:uid="{00000000-0005-0000-0000-000034000000}"/>
    <cellStyle name="Navadno 3 5" xfId="62" xr:uid="{00000000-0005-0000-0000-000035000000}"/>
    <cellStyle name="Navadno 4" xfId="45" xr:uid="{00000000-0005-0000-0000-000036000000}"/>
    <cellStyle name="Navadno 4 2" xfId="55" xr:uid="{00000000-0005-0000-0000-000037000000}"/>
    <cellStyle name="Navadno 5" xfId="57" xr:uid="{00000000-0005-0000-0000-000038000000}"/>
    <cellStyle name="Navadno_KALAMAR-PSO GREGORČIČEVA MS-16.11.04" xfId="46" xr:uid="{00000000-0005-0000-0000-000039000000}"/>
    <cellStyle name="Navadno_PROJEKTA gradbena jama komenda marec 2009 in avgust 10" xfId="47" xr:uid="{00000000-0005-0000-0000-00003A000000}"/>
    <cellStyle name="Normal 2" xfId="48" xr:uid="{00000000-0005-0000-0000-00003B000000}"/>
    <cellStyle name="Normal 2 2" xfId="67" xr:uid="{00000000-0005-0000-0000-00003C000000}"/>
    <cellStyle name="Normal 2 3" xfId="60" xr:uid="{00000000-0005-0000-0000-00003D000000}"/>
    <cellStyle name="Normal_I-BREZOV" xfId="49" xr:uid="{00000000-0005-0000-0000-00003E000000}"/>
    <cellStyle name="Normal_List1" xfId="50" xr:uid="{00000000-0005-0000-0000-00003F000000}"/>
    <cellStyle name="Opozorilo" xfId="51" xr:uid="{00000000-0005-0000-0000-000040000000}"/>
    <cellStyle name="Output" xfId="52" xr:uid="{00000000-0005-0000-0000-000041000000}"/>
    <cellStyle name="Title" xfId="53" xr:uid="{00000000-0005-0000-0000-000042000000}"/>
    <cellStyle name="Warning Text" xfId="54" xr:uid="{00000000-0005-0000-0000-000043000000}"/>
  </cellStyles>
  <dxfs count="5">
    <dxf>
      <fill>
        <patternFill>
          <bgColor theme="6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129"/>
  <sheetViews>
    <sheetView view="pageBreakPreview" zoomScaleNormal="100" zoomScaleSheetLayoutView="100" workbookViewId="0">
      <selection activeCell="E19" sqref="E19"/>
    </sheetView>
  </sheetViews>
  <sheetFormatPr defaultColWidth="9.140625" defaultRowHeight="12.75" x14ac:dyDescent="0.2"/>
  <cols>
    <col min="1" max="1" width="9.140625" style="10"/>
    <col min="2" max="2" width="30.140625" style="10" customWidth="1"/>
    <col min="3" max="4" width="9.140625" style="10"/>
    <col min="5" max="5" width="16.42578125" style="10" customWidth="1"/>
    <col min="6" max="16384" width="9.140625" style="10"/>
  </cols>
  <sheetData>
    <row r="1" spans="1:256" x14ac:dyDescent="0.2">
      <c r="A1" s="6"/>
      <c r="B1" s="7"/>
      <c r="C1" s="8"/>
      <c r="D1" s="9"/>
      <c r="E1" s="9"/>
    </row>
    <row r="2" spans="1:256" x14ac:dyDescent="0.2">
      <c r="A2" s="6"/>
      <c r="B2" s="7"/>
      <c r="C2" s="8"/>
      <c r="D2" s="9"/>
      <c r="E2" s="9"/>
    </row>
    <row r="3" spans="1:256" ht="15.75" x14ac:dyDescent="0.2">
      <c r="A3" s="6"/>
      <c r="B3" s="11" t="s">
        <v>216</v>
      </c>
      <c r="C3" s="8"/>
      <c r="D3" s="9"/>
      <c r="E3" s="9"/>
    </row>
    <row r="4" spans="1:256" ht="27.75" customHeight="1" x14ac:dyDescent="0.2">
      <c r="A4" s="6"/>
      <c r="B4" s="251" t="s">
        <v>334</v>
      </c>
      <c r="C4" s="251"/>
      <c r="D4" s="251"/>
      <c r="E4" s="251"/>
    </row>
    <row r="5" spans="1:256" x14ac:dyDescent="0.2">
      <c r="A5" s="12"/>
      <c r="B5" s="251" t="s">
        <v>148</v>
      </c>
      <c r="C5" s="251"/>
      <c r="D5" s="251"/>
      <c r="E5" s="251"/>
    </row>
    <row r="6" spans="1:256" x14ac:dyDescent="0.2">
      <c r="A6" s="12"/>
      <c r="B6" s="139" t="s">
        <v>222</v>
      </c>
      <c r="C6" s="139"/>
      <c r="D6" s="139"/>
      <c r="E6" s="139"/>
    </row>
    <row r="7" spans="1:256" x14ac:dyDescent="0.2">
      <c r="A7" s="141"/>
      <c r="B7" s="141"/>
      <c r="C7" s="139"/>
      <c r="D7" s="139"/>
      <c r="E7" s="139"/>
    </row>
    <row r="8" spans="1:256" x14ac:dyDescent="0.2">
      <c r="A8" s="141" t="s">
        <v>220</v>
      </c>
      <c r="B8" s="142" t="s">
        <v>307</v>
      </c>
      <c r="C8" s="139"/>
      <c r="D8" s="139"/>
      <c r="E8" s="139"/>
    </row>
    <row r="9" spans="1:256" x14ac:dyDescent="0.2">
      <c r="A9" s="141" t="s">
        <v>221</v>
      </c>
      <c r="B9" s="142" t="s">
        <v>332</v>
      </c>
      <c r="C9" s="139"/>
      <c r="D9" s="139"/>
      <c r="E9" s="139"/>
    </row>
    <row r="10" spans="1:256" s="4" customFormat="1" ht="13.5" thickBot="1" x14ac:dyDescent="0.25">
      <c r="A10" s="6"/>
      <c r="B10" s="7"/>
      <c r="C10" s="8"/>
      <c r="D10" s="9"/>
      <c r="E10" s="9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  <c r="IP10" s="10"/>
      <c r="IQ10" s="10"/>
      <c r="IR10" s="10"/>
      <c r="IS10" s="10"/>
      <c r="IT10" s="10"/>
      <c r="IU10" s="10"/>
      <c r="IV10" s="10"/>
    </row>
    <row r="11" spans="1:256" s="4" customFormat="1" ht="13.5" thickBot="1" x14ac:dyDescent="0.25">
      <c r="A11" s="13" t="s">
        <v>4</v>
      </c>
      <c r="B11" s="14" t="s">
        <v>5</v>
      </c>
      <c r="C11" s="15"/>
      <c r="D11" s="16"/>
      <c r="E11" s="16" t="s">
        <v>11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  <c r="IB11" s="10"/>
      <c r="IC11" s="10"/>
      <c r="ID11" s="10"/>
      <c r="IE11" s="10"/>
      <c r="IF11" s="10"/>
      <c r="IG11" s="10"/>
      <c r="IH11" s="10"/>
      <c r="II11" s="10"/>
      <c r="IJ11" s="10"/>
      <c r="IK11" s="10"/>
      <c r="IL11" s="10"/>
      <c r="IM11" s="10"/>
      <c r="IN11" s="10"/>
      <c r="IO11" s="10"/>
      <c r="IP11" s="10"/>
      <c r="IQ11" s="10"/>
      <c r="IR11" s="10"/>
      <c r="IS11" s="10"/>
      <c r="IT11" s="10"/>
      <c r="IU11" s="10"/>
      <c r="IV11" s="10"/>
    </row>
    <row r="12" spans="1:256" s="4" customFormat="1" x14ac:dyDescent="0.2">
      <c r="A12" s="26"/>
      <c r="B12" s="27"/>
      <c r="C12" s="28"/>
      <c r="D12" s="29"/>
      <c r="E12" s="29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  <c r="HM12" s="10"/>
      <c r="HN12" s="10"/>
      <c r="HO12" s="10"/>
      <c r="HP12" s="10"/>
      <c r="HQ12" s="10"/>
      <c r="HR12" s="10"/>
      <c r="HS12" s="10"/>
      <c r="HT12" s="10"/>
      <c r="HU12" s="10"/>
      <c r="HV12" s="10"/>
      <c r="HW12" s="10"/>
      <c r="HX12" s="10"/>
      <c r="HY12" s="10"/>
      <c r="HZ12" s="10"/>
      <c r="IA12" s="10"/>
      <c r="IB12" s="10"/>
      <c r="IC12" s="10"/>
      <c r="ID12" s="10"/>
      <c r="IE12" s="10"/>
      <c r="IF12" s="10"/>
      <c r="IG12" s="10"/>
      <c r="IH12" s="10"/>
      <c r="II12" s="10"/>
      <c r="IJ12" s="10"/>
      <c r="IK12" s="10"/>
      <c r="IL12" s="10"/>
      <c r="IM12" s="10"/>
      <c r="IN12" s="10"/>
      <c r="IO12" s="10"/>
      <c r="IP12" s="10"/>
      <c r="IQ12" s="10"/>
      <c r="IR12" s="10"/>
      <c r="IS12" s="10"/>
      <c r="IT12" s="10"/>
      <c r="IU12" s="10"/>
      <c r="IV12" s="10"/>
    </row>
    <row r="13" spans="1:256" s="4" customFormat="1" ht="13.5" thickBot="1" x14ac:dyDescent="0.25">
      <c r="A13" s="26"/>
      <c r="B13" s="30" t="s">
        <v>304</v>
      </c>
      <c r="C13" s="28"/>
      <c r="D13" s="29"/>
      <c r="E13" s="29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  <c r="IU13" s="10"/>
      <c r="IV13" s="10"/>
    </row>
    <row r="14" spans="1:256" s="4" customFormat="1" ht="13.5" thickBot="1" x14ac:dyDescent="0.25">
      <c r="A14" s="17" t="s">
        <v>12</v>
      </c>
      <c r="B14" s="18" t="s">
        <v>148</v>
      </c>
      <c r="C14" s="19"/>
      <c r="D14" s="20"/>
      <c r="E14" s="21">
        <f>'Sončna pot'!F11</f>
        <v>0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  <c r="IU14" s="10"/>
      <c r="IV14" s="10"/>
    </row>
    <row r="15" spans="1:256" s="4" customFormat="1" x14ac:dyDescent="0.2">
      <c r="A15" s="26"/>
      <c r="B15" s="27"/>
      <c r="C15" s="28"/>
      <c r="D15" s="29"/>
      <c r="E15" s="29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  <c r="IU15" s="10"/>
      <c r="IV15" s="10"/>
    </row>
    <row r="16" spans="1:256" s="4" customFormat="1" ht="13.5" thickBot="1" x14ac:dyDescent="0.25">
      <c r="A16" s="26"/>
      <c r="B16" s="97" t="s">
        <v>305</v>
      </c>
      <c r="C16" s="28"/>
      <c r="D16" s="29"/>
      <c r="E16" s="29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  <c r="IU16" s="10"/>
      <c r="IV16" s="10"/>
    </row>
    <row r="17" spans="1:256" s="4" customFormat="1" ht="13.5" thickBot="1" x14ac:dyDescent="0.25">
      <c r="A17" s="17" t="s">
        <v>306</v>
      </c>
      <c r="B17" s="18" t="s">
        <v>148</v>
      </c>
      <c r="C17" s="19"/>
      <c r="D17" s="20"/>
      <c r="E17" s="21">
        <f>'Javna cesta'!F12</f>
        <v>0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  <c r="IU17" s="10"/>
      <c r="IV17" s="10"/>
    </row>
    <row r="18" spans="1:256" s="4" customFormat="1" ht="13.5" thickBot="1" x14ac:dyDescent="0.25">
      <c r="A18" s="221"/>
      <c r="B18" s="222"/>
      <c r="C18" s="219"/>
      <c r="D18" s="220"/>
      <c r="E18" s="223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  <c r="IU18" s="10"/>
      <c r="IV18" s="10"/>
    </row>
    <row r="19" spans="1:256" s="4" customFormat="1" ht="102.75" thickBot="1" x14ac:dyDescent="0.25">
      <c r="A19" s="17" t="s">
        <v>314</v>
      </c>
      <c r="B19" s="18" t="s">
        <v>315</v>
      </c>
      <c r="C19" s="19"/>
      <c r="D19" s="20"/>
      <c r="E19" s="281">
        <v>0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  <c r="IU19" s="10"/>
      <c r="IV19" s="10"/>
    </row>
    <row r="20" spans="1:256" s="4" customFormat="1" x14ac:dyDescent="0.2">
      <c r="A20" s="221"/>
      <c r="B20" s="224"/>
      <c r="C20" s="219"/>
      <c r="D20" s="220"/>
      <c r="E20" s="223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  <c r="IU20" s="10"/>
      <c r="IV20" s="10"/>
    </row>
    <row r="21" spans="1:256" s="2" customFormat="1" ht="13.5" thickBot="1" x14ac:dyDescent="0.25">
      <c r="A21" s="22"/>
      <c r="B21" s="7"/>
      <c r="C21" s="9"/>
      <c r="D21" s="9"/>
      <c r="E21" s="9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  <c r="IU21" s="10"/>
      <c r="IV21" s="10"/>
    </row>
    <row r="22" spans="1:256" s="2" customFormat="1" ht="13.5" thickBot="1" x14ac:dyDescent="0.25">
      <c r="A22" s="22"/>
      <c r="B22" s="24" t="s">
        <v>13</v>
      </c>
      <c r="C22" s="19"/>
      <c r="D22" s="19"/>
      <c r="E22" s="25">
        <f>SUM(E14:E21)</f>
        <v>0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  <c r="IU22" s="10"/>
      <c r="IV22" s="10"/>
    </row>
    <row r="23" spans="1:256" s="2" customFormat="1" x14ac:dyDescent="0.2">
      <c r="A23" s="22"/>
      <c r="B23" s="7"/>
      <c r="C23" s="9"/>
      <c r="D23" s="9"/>
      <c r="E23" s="9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  <c r="IU23" s="10"/>
      <c r="IV23" s="10"/>
    </row>
    <row r="24" spans="1:256" s="2" customFormat="1" x14ac:dyDescent="0.2">
      <c r="A24" s="22"/>
      <c r="B24" s="23" t="s">
        <v>10</v>
      </c>
      <c r="C24" s="9"/>
      <c r="D24" s="9"/>
      <c r="E24" s="9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  <c r="IU24" s="10"/>
      <c r="IV24" s="10"/>
    </row>
    <row r="25" spans="1:256" s="2" customFormat="1" x14ac:dyDescent="0.2">
      <c r="A25" s="10"/>
      <c r="B25" s="10"/>
      <c r="C25" s="10"/>
      <c r="D25" s="10"/>
      <c r="E25" s="31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  <c r="IU25" s="10"/>
      <c r="IV25" s="10"/>
    </row>
    <row r="26" spans="1:256" s="2" customFormat="1" x14ac:dyDescent="0.2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  <c r="IU26" s="10"/>
      <c r="IV26" s="10"/>
    </row>
    <row r="27" spans="1:256" s="2" customFormat="1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  <c r="IU27" s="10"/>
      <c r="IV27" s="10"/>
    </row>
    <row r="28" spans="1:256" s="2" customFormat="1" x14ac:dyDescent="0.2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  <c r="IU28" s="10"/>
      <c r="IV28" s="10"/>
    </row>
    <row r="29" spans="1:256" s="2" customFormat="1" x14ac:dyDescent="0.2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  <c r="IU29" s="10"/>
      <c r="IV29" s="10"/>
    </row>
    <row r="30" spans="1:256" s="2" customFormat="1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  <c r="IU30" s="10"/>
      <c r="IV30" s="10"/>
    </row>
    <row r="31" spans="1:256" s="2" customFormat="1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  <c r="IU31" s="10"/>
      <c r="IV31" s="10"/>
    </row>
    <row r="32" spans="1:256" s="2" customFormat="1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  <c r="IU32" s="10"/>
      <c r="IV32" s="10"/>
    </row>
    <row r="33" spans="1:256" s="2" customFormat="1" x14ac:dyDescent="0.2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  <c r="IU33" s="10"/>
      <c r="IV33" s="10"/>
    </row>
    <row r="34" spans="1:256" s="2" customFormat="1" x14ac:dyDescent="0.2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  <c r="IU34" s="10"/>
      <c r="IV34" s="10"/>
    </row>
    <row r="35" spans="1:256" s="2" customFormat="1" x14ac:dyDescent="0.2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  <c r="IU35" s="10"/>
      <c r="IV35" s="10"/>
    </row>
    <row r="36" spans="1:256" s="2" customFormat="1" x14ac:dyDescent="0.2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  <c r="IU36" s="10"/>
      <c r="IV36" s="10"/>
    </row>
    <row r="37" spans="1:256" s="2" customFormat="1" x14ac:dyDescent="0.2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  <c r="IU37" s="10"/>
      <c r="IV37" s="10"/>
    </row>
    <row r="38" spans="1:256" s="5" customFormat="1" x14ac:dyDescent="0.2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  <c r="IU38" s="10"/>
      <c r="IV38" s="10"/>
    </row>
    <row r="39" spans="1:256" s="5" customFormat="1" x14ac:dyDescent="0.2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  <c r="IU39" s="10"/>
      <c r="IV39" s="10"/>
    </row>
    <row r="40" spans="1:256" s="5" customFormat="1" x14ac:dyDescent="0.2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  <c r="IU40" s="10"/>
      <c r="IV40" s="10"/>
    </row>
    <row r="41" spans="1:256" s="2" customFormat="1" x14ac:dyDescent="0.2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  <c r="IU41" s="10"/>
      <c r="IV41" s="10"/>
    </row>
    <row r="42" spans="1:256" s="2" customFormat="1" x14ac:dyDescent="0.2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  <c r="IU42" s="10"/>
      <c r="IV42" s="10"/>
    </row>
    <row r="43" spans="1:256" s="2" customFormat="1" x14ac:dyDescent="0.2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  <c r="IU43" s="10"/>
      <c r="IV43" s="10"/>
    </row>
    <row r="44" spans="1:256" s="2" customFormat="1" x14ac:dyDescent="0.2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  <c r="IU44" s="10"/>
      <c r="IV44" s="10"/>
    </row>
    <row r="45" spans="1:256" s="2" customFormat="1" x14ac:dyDescent="0.2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  <c r="IU45" s="10"/>
      <c r="IV45" s="10"/>
    </row>
    <row r="46" spans="1:256" s="2" customFormat="1" x14ac:dyDescent="0.2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  <c r="IU46" s="10"/>
      <c r="IV46" s="10"/>
    </row>
    <row r="47" spans="1:256" s="2" customFormat="1" x14ac:dyDescent="0.2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  <c r="IU47" s="10"/>
      <c r="IV47" s="10"/>
    </row>
    <row r="48" spans="1:256" s="2" customFormat="1" x14ac:dyDescent="0.2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  <c r="IU48" s="10"/>
      <c r="IV48" s="10"/>
    </row>
    <row r="49" spans="1:256" s="2" customFormat="1" x14ac:dyDescent="0.2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  <c r="IU49" s="10"/>
      <c r="IV49" s="10"/>
    </row>
    <row r="50" spans="1:256" s="2" customFormat="1" x14ac:dyDescent="0.2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  <c r="IU50" s="10"/>
      <c r="IV50" s="10"/>
    </row>
    <row r="51" spans="1:256" s="2" customFormat="1" x14ac:dyDescent="0.2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  <c r="IU51" s="10"/>
      <c r="IV51" s="10"/>
    </row>
    <row r="52" spans="1:256" s="2" customFormat="1" x14ac:dyDescent="0.2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  <c r="IU52" s="10"/>
      <c r="IV52" s="10"/>
    </row>
    <row r="53" spans="1:256" s="2" customFormat="1" x14ac:dyDescent="0.2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  <c r="IU53" s="10"/>
      <c r="IV53" s="10"/>
    </row>
    <row r="54" spans="1:256" s="2" customFormat="1" x14ac:dyDescent="0.2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  <c r="IU54" s="10"/>
      <c r="IV54" s="10"/>
    </row>
    <row r="55" spans="1:256" s="2" customFormat="1" x14ac:dyDescent="0.2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  <c r="IU55" s="10"/>
      <c r="IV55" s="10"/>
    </row>
    <row r="56" spans="1:256" s="2" customFormat="1" x14ac:dyDescent="0.2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  <c r="IU56" s="10"/>
      <c r="IV56" s="10"/>
    </row>
    <row r="57" spans="1:256" s="2" customFormat="1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  <c r="IU57" s="10"/>
      <c r="IV57" s="10"/>
    </row>
    <row r="58" spans="1:256" s="2" customFormat="1" x14ac:dyDescent="0.2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  <c r="IU58" s="10"/>
      <c r="IV58" s="10"/>
    </row>
    <row r="59" spans="1:256" s="2" customFormat="1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  <c r="IU59" s="10"/>
      <c r="IV59" s="10"/>
    </row>
    <row r="60" spans="1:256" s="2" customFormat="1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  <c r="IU60" s="10"/>
      <c r="IV60" s="10"/>
    </row>
    <row r="61" spans="1:256" s="2" customFormat="1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  <c r="IU61" s="10"/>
      <c r="IV61" s="10"/>
    </row>
    <row r="62" spans="1:256" s="1" customFormat="1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  <c r="IU62" s="10"/>
      <c r="IV62" s="10"/>
    </row>
    <row r="63" spans="1:256" s="2" customFormat="1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  <c r="IU63" s="10"/>
      <c r="IV63" s="10"/>
    </row>
    <row r="64" spans="1:256" s="2" customFormat="1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  <c r="IU64" s="10"/>
      <c r="IV64" s="10"/>
    </row>
    <row r="65" spans="1:256" s="2" customFormat="1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  <c r="IU65" s="10"/>
      <c r="IV65" s="10"/>
    </row>
    <row r="66" spans="1:256" ht="27" customHeight="1" x14ac:dyDescent="0.2"/>
    <row r="68" spans="1:256" s="1" customForma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  <c r="IU68" s="10"/>
      <c r="IV68" s="10"/>
    </row>
    <row r="69" spans="1:256" s="1" customForma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  <c r="IU69" s="10"/>
      <c r="IV69" s="10"/>
    </row>
    <row r="70" spans="1:256" s="1" customForma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  <c r="IU70" s="10"/>
      <c r="IV70" s="10"/>
    </row>
    <row r="71" spans="1:256" s="1" customForma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  <c r="IU71" s="10"/>
      <c r="IV71" s="10"/>
    </row>
    <row r="72" spans="1:256" s="1" customFormat="1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  <c r="IU72" s="10"/>
      <c r="IV72" s="10"/>
    </row>
    <row r="73" spans="1:256" s="1" customForma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  <c r="IU73" s="10"/>
      <c r="IV73" s="10"/>
    </row>
    <row r="74" spans="1:256" s="1" customForma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  <c r="IU74" s="10"/>
      <c r="IV74" s="10"/>
    </row>
    <row r="75" spans="1:256" s="1" customForma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  <c r="IU75" s="10"/>
      <c r="IV75" s="10"/>
    </row>
    <row r="76" spans="1:256" s="1" customFormat="1" x14ac:dyDescent="0.2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  <c r="IU76" s="10"/>
      <c r="IV76" s="10"/>
    </row>
    <row r="77" spans="1:256" s="1" customForma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  <c r="IU77" s="10"/>
      <c r="IV77" s="10"/>
    </row>
    <row r="78" spans="1:256" s="1" customForma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  <c r="IU78" s="10"/>
      <c r="IV78" s="10"/>
    </row>
    <row r="79" spans="1:256" s="1" customForma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  <c r="IU79" s="10"/>
      <c r="IV79" s="10"/>
    </row>
    <row r="80" spans="1:256" s="1" customForma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  <c r="IU80" s="10"/>
      <c r="IV80" s="10"/>
    </row>
    <row r="81" spans="1:256" s="1" customForma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  <c r="IU81" s="10"/>
      <c r="IV81" s="10"/>
    </row>
    <row r="82" spans="1:256" s="1" customForma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  <c r="IU82" s="10"/>
      <c r="IV82" s="10"/>
    </row>
    <row r="83" spans="1:256" s="1" customForma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  <c r="IU83" s="10"/>
      <c r="IV83" s="10"/>
    </row>
    <row r="84" spans="1:256" s="1" customForma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  <c r="IU84" s="10"/>
      <c r="IV84" s="10"/>
    </row>
    <row r="85" spans="1:256" s="1" customFormat="1" x14ac:dyDescent="0.2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  <c r="IU85" s="10"/>
      <c r="IV85" s="10"/>
    </row>
    <row r="86" spans="1:256" s="2" customFormat="1" x14ac:dyDescent="0.2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  <c r="IU86" s="10"/>
      <c r="IV86" s="10"/>
    </row>
    <row r="87" spans="1:256" s="2" customFormat="1" x14ac:dyDescent="0.2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  <c r="IU87" s="10"/>
      <c r="IV87" s="10"/>
    </row>
    <row r="88" spans="1:256" s="2" customFormat="1" x14ac:dyDescent="0.2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  <c r="IU88" s="10"/>
      <c r="IV88" s="10"/>
    </row>
    <row r="89" spans="1:256" s="2" customFormat="1" x14ac:dyDescent="0.2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  <c r="IU89" s="10"/>
      <c r="IV89" s="10"/>
    </row>
    <row r="90" spans="1:256" s="2" customFormat="1" x14ac:dyDescent="0.2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  <c r="IU90" s="10"/>
      <c r="IV90" s="10"/>
    </row>
    <row r="91" spans="1:256" s="2" customFormat="1" x14ac:dyDescent="0.2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  <c r="IU91" s="10"/>
      <c r="IV91" s="10"/>
    </row>
    <row r="92" spans="1:256" s="2" customFormat="1" x14ac:dyDescent="0.2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  <c r="IU92" s="10"/>
      <c r="IV92" s="10"/>
    </row>
    <row r="93" spans="1:256" s="2" customFormat="1" x14ac:dyDescent="0.2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  <c r="IU93" s="10"/>
      <c r="IV93" s="10"/>
    </row>
    <row r="94" spans="1:256" s="2" customFormat="1" x14ac:dyDescent="0.2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  <c r="IU94" s="10"/>
      <c r="IV94" s="10"/>
    </row>
    <row r="95" spans="1:256" s="2" customFormat="1" x14ac:dyDescent="0.2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  <c r="IU95" s="10"/>
      <c r="IV95" s="10"/>
    </row>
    <row r="96" spans="1:256" s="1" customFormat="1" x14ac:dyDescent="0.2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  <c r="IU96" s="10"/>
      <c r="IV96" s="10"/>
    </row>
    <row r="97" spans="1:256" s="1" customFormat="1" x14ac:dyDescent="0.2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  <c r="IU97" s="10"/>
      <c r="IV97" s="10"/>
    </row>
    <row r="98" spans="1:256" s="1" customFormat="1" x14ac:dyDescent="0.2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  <c r="IU98" s="10"/>
      <c r="IV98" s="10"/>
    </row>
    <row r="99" spans="1:256" s="1" customFormat="1" x14ac:dyDescent="0.2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  <c r="IU99" s="10"/>
      <c r="IV99" s="10"/>
    </row>
    <row r="100" spans="1:256" s="1" customFormat="1" x14ac:dyDescent="0.2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  <c r="IU100" s="10"/>
      <c r="IV100" s="10"/>
    </row>
    <row r="101" spans="1:256" s="1" customFormat="1" x14ac:dyDescent="0.2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  <c r="IU101" s="10"/>
      <c r="IV101" s="10"/>
    </row>
    <row r="102" spans="1:256" s="1" customFormat="1" x14ac:dyDescent="0.2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  <c r="IU102" s="10"/>
      <c r="IV102" s="10"/>
    </row>
    <row r="103" spans="1:256" s="1" customFormat="1" x14ac:dyDescent="0.2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  <c r="IU103" s="10"/>
      <c r="IV103" s="10"/>
    </row>
    <row r="104" spans="1:256" s="1" customFormat="1" x14ac:dyDescent="0.2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  <c r="IU104" s="10"/>
      <c r="IV104" s="10"/>
    </row>
    <row r="105" spans="1:256" s="1" customFormat="1" x14ac:dyDescent="0.2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  <c r="IU105" s="10"/>
      <c r="IV105" s="10"/>
    </row>
    <row r="106" spans="1:256" s="1" customFormat="1" x14ac:dyDescent="0.2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  <c r="IU106" s="10"/>
      <c r="IV106" s="10"/>
    </row>
    <row r="107" spans="1:256" s="1" customFormat="1" x14ac:dyDescent="0.2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  <c r="IU107" s="10"/>
      <c r="IV107" s="10"/>
    </row>
    <row r="108" spans="1:256" s="1" customFormat="1" x14ac:dyDescent="0.2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  <c r="IU108" s="10"/>
      <c r="IV108" s="10"/>
    </row>
    <row r="109" spans="1:256" s="1" customFormat="1" x14ac:dyDescent="0.2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  <c r="IU109" s="10"/>
      <c r="IV109" s="10"/>
    </row>
    <row r="110" spans="1:256" s="1" customFormat="1" x14ac:dyDescent="0.2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  <c r="IU110" s="10"/>
      <c r="IV110" s="10"/>
    </row>
    <row r="111" spans="1:256" s="1" customFormat="1" x14ac:dyDescent="0.2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  <c r="IU111" s="10"/>
      <c r="IV111" s="10"/>
    </row>
    <row r="112" spans="1:256" s="1" customFormat="1" x14ac:dyDescent="0.2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  <c r="IU112" s="10"/>
      <c r="IV112" s="10"/>
    </row>
    <row r="113" spans="1:256" s="1" customFormat="1" x14ac:dyDescent="0.2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  <c r="IU113" s="10"/>
      <c r="IV113" s="10"/>
    </row>
    <row r="114" spans="1:256" s="1" customFormat="1" x14ac:dyDescent="0.2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  <c r="IU114" s="10"/>
      <c r="IV114" s="10"/>
    </row>
    <row r="115" spans="1:256" s="1" customFormat="1" x14ac:dyDescent="0.2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  <c r="IU115" s="10"/>
      <c r="IV115" s="10"/>
    </row>
    <row r="116" spans="1:256" s="1" customFormat="1" x14ac:dyDescent="0.2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  <c r="IU116" s="10"/>
      <c r="IV116" s="10"/>
    </row>
    <row r="117" spans="1:256" s="1" customFormat="1" x14ac:dyDescent="0.2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  <c r="IU117" s="10"/>
      <c r="IV117" s="10"/>
    </row>
    <row r="118" spans="1:256" s="1" customFormat="1" x14ac:dyDescent="0.2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  <c r="IU118" s="10"/>
      <c r="IV118" s="10"/>
    </row>
    <row r="119" spans="1:256" s="1" customFormat="1" x14ac:dyDescent="0.2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  <c r="IU119" s="10"/>
      <c r="IV119" s="10"/>
    </row>
    <row r="120" spans="1:256" s="1" customFormat="1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  <c r="IU120" s="10"/>
      <c r="IV120" s="10"/>
    </row>
    <row r="121" spans="1:256" s="1" customFormat="1" x14ac:dyDescent="0.2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  <c r="IU121" s="10"/>
      <c r="IV121" s="10"/>
    </row>
    <row r="122" spans="1:256" s="1" customFormat="1" x14ac:dyDescent="0.2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  <c r="IU122" s="10"/>
      <c r="IV122" s="10"/>
    </row>
    <row r="123" spans="1:256" s="1" customFormat="1" x14ac:dyDescent="0.2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  <c r="IU123" s="10"/>
      <c r="IV123" s="10"/>
    </row>
    <row r="124" spans="1:256" s="1" customFormat="1" x14ac:dyDescent="0.2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  <c r="IU124" s="10"/>
      <c r="IV124" s="10"/>
    </row>
    <row r="125" spans="1:256" s="1" customFormat="1" x14ac:dyDescent="0.2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  <c r="IU125" s="10"/>
      <c r="IV125" s="10"/>
    </row>
    <row r="126" spans="1:256" s="1" customFormat="1" x14ac:dyDescent="0.2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  <c r="IU126" s="10"/>
      <c r="IV126" s="10"/>
    </row>
    <row r="127" spans="1:256" s="3" customFormat="1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  <c r="IU127" s="10"/>
      <c r="IV127" s="10"/>
    </row>
    <row r="128" spans="1:256" s="3" customFormat="1" x14ac:dyDescent="0.2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  <c r="IU128" s="10"/>
      <c r="IV128" s="10"/>
    </row>
    <row r="129" spans="1:256" s="3" customFormat="1" x14ac:dyDescent="0.2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  <c r="IU129" s="10"/>
      <c r="IV129" s="10"/>
    </row>
  </sheetData>
  <sheetProtection algorithmName="SHA-512" hashValue="FDkAMVh1lp5ATr2aSad4eIB8TiSn/1nFgSwkCkd/9S5qmEBNzMWuVrO5YYzfjj7Ln83bPgvduJ2MFnrNxiE3lA==" saltValue="2LHQx+fanzrhyLTQiYFCLQ==" spinCount="100000" sheet="1" objects="1" scenarios="1"/>
  <mergeCells count="2">
    <mergeCell ref="B5:E5"/>
    <mergeCell ref="B4:E4"/>
  </mergeCells>
  <phoneticPr fontId="22" type="noConversion"/>
  <printOptions horizontalCentered="1"/>
  <pageMargins left="0.98425196850393704" right="0.51181102362204722" top="0.74803149606299213" bottom="0.74803149606299213" header="0.31496062992125984" footer="0.31496062992125984"/>
  <pageSetup paperSize="9" fitToHeight="0" orientation="portrait" horizontalDpi="180" verticalDpi="180" r:id="rId1"/>
  <headerFooter alignWithMargins="0"/>
  <rowBreaks count="1" manualBreakCount="1">
    <brk id="79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08"/>
  <sheetViews>
    <sheetView tabSelected="1" view="pageBreakPreview" zoomScaleNormal="100" zoomScaleSheetLayoutView="100" workbookViewId="0">
      <selection activeCell="A2" sqref="A2"/>
    </sheetView>
  </sheetViews>
  <sheetFormatPr defaultColWidth="9.140625" defaultRowHeight="12.75" x14ac:dyDescent="0.2"/>
  <cols>
    <col min="1" max="1" width="10.28515625" style="50" customWidth="1"/>
    <col min="2" max="2" width="36.42578125" style="50" customWidth="1"/>
    <col min="3" max="3" width="9.7109375" style="51" customWidth="1"/>
    <col min="4" max="4" width="9.5703125" style="52" customWidth="1"/>
    <col min="5" max="5" width="10.85546875" style="262" customWidth="1"/>
    <col min="6" max="6" width="13.7109375" style="53" customWidth="1"/>
    <col min="7" max="7" width="11" style="54" hidden="1" customWidth="1"/>
    <col min="8" max="11" width="9.140625" style="50" hidden="1" customWidth="1"/>
    <col min="12" max="12" width="9.140625" style="50" customWidth="1"/>
    <col min="13" max="17" width="9.140625" style="50"/>
    <col min="18" max="18" width="10.85546875" customWidth="1"/>
    <col min="19" max="19" width="8.85546875" customWidth="1"/>
    <col min="20" max="16384" width="9.140625" style="50"/>
  </cols>
  <sheetData>
    <row r="1" spans="1:19" s="130" customFormat="1" x14ac:dyDescent="0.2">
      <c r="A1" s="199" t="s">
        <v>304</v>
      </c>
      <c r="C1" s="242"/>
      <c r="D1" s="242"/>
      <c r="E1" s="261"/>
      <c r="F1" s="243"/>
      <c r="R1" s="197"/>
      <c r="S1" s="197"/>
    </row>
    <row r="2" spans="1:19" x14ac:dyDescent="0.2">
      <c r="G2" s="200" t="s">
        <v>79</v>
      </c>
      <c r="H2" s="130"/>
      <c r="I2" s="130"/>
      <c r="J2" s="130"/>
      <c r="R2" s="197"/>
      <c r="S2" s="197"/>
    </row>
    <row r="3" spans="1:19" x14ac:dyDescent="0.2">
      <c r="A3" s="55" t="s">
        <v>12</v>
      </c>
      <c r="B3" s="56" t="s">
        <v>148</v>
      </c>
      <c r="C3" s="244"/>
      <c r="D3" s="244"/>
      <c r="E3" s="263"/>
      <c r="F3" s="245"/>
      <c r="G3" s="201" t="s">
        <v>80</v>
      </c>
      <c r="H3" s="132">
        <v>750</v>
      </c>
      <c r="I3" s="132" t="s">
        <v>0</v>
      </c>
      <c r="J3" s="130"/>
      <c r="R3" s="197"/>
      <c r="S3" s="197"/>
    </row>
    <row r="4" spans="1:19" x14ac:dyDescent="0.2">
      <c r="A4" s="57"/>
      <c r="B4" s="57"/>
      <c r="C4" s="58"/>
      <c r="D4" s="58"/>
      <c r="E4" s="264"/>
      <c r="F4" s="59"/>
      <c r="G4" s="131" t="s">
        <v>81</v>
      </c>
      <c r="H4" s="132">
        <v>1312</v>
      </c>
      <c r="I4" s="132" t="s">
        <v>0</v>
      </c>
      <c r="J4" s="130"/>
      <c r="R4" s="197"/>
      <c r="S4" s="197"/>
    </row>
    <row r="5" spans="1:19" x14ac:dyDescent="0.2">
      <c r="A5" s="60" t="s">
        <v>14</v>
      </c>
      <c r="B5" s="60" t="s">
        <v>15</v>
      </c>
      <c r="C5" s="52"/>
      <c r="E5" s="265"/>
      <c r="F5" s="61">
        <f>F33</f>
        <v>0</v>
      </c>
      <c r="G5" s="133" t="s">
        <v>202</v>
      </c>
      <c r="H5" s="134">
        <v>1793.4</v>
      </c>
      <c r="I5" s="132" t="s">
        <v>0</v>
      </c>
      <c r="J5" s="50" t="s">
        <v>140</v>
      </c>
      <c r="R5" s="197"/>
      <c r="S5" s="197"/>
    </row>
    <row r="6" spans="1:19" x14ac:dyDescent="0.2">
      <c r="A6" s="60" t="s">
        <v>16</v>
      </c>
      <c r="B6" s="60" t="s">
        <v>17</v>
      </c>
      <c r="C6" s="52"/>
      <c r="E6" s="265"/>
      <c r="F6" s="61">
        <f>F63</f>
        <v>0</v>
      </c>
      <c r="G6" s="133" t="s">
        <v>141</v>
      </c>
      <c r="H6" s="134">
        <v>483.4</v>
      </c>
      <c r="I6" s="134" t="s">
        <v>142</v>
      </c>
      <c r="R6" s="197"/>
      <c r="S6" s="197"/>
    </row>
    <row r="7" spans="1:19" x14ac:dyDescent="0.2">
      <c r="A7" s="60" t="s">
        <v>209</v>
      </c>
      <c r="B7" s="60" t="s">
        <v>19</v>
      </c>
      <c r="C7" s="52"/>
      <c r="E7" s="265"/>
      <c r="F7" s="61">
        <f>F81</f>
        <v>0</v>
      </c>
      <c r="G7" s="133" t="s">
        <v>201</v>
      </c>
      <c r="H7" s="134">
        <v>156.6</v>
      </c>
      <c r="I7" s="134" t="s">
        <v>0</v>
      </c>
      <c r="R7" s="197"/>
      <c r="S7" s="197"/>
    </row>
    <row r="8" spans="1:19" x14ac:dyDescent="0.2">
      <c r="A8" s="60" t="s">
        <v>20</v>
      </c>
      <c r="B8" s="60" t="s">
        <v>208</v>
      </c>
      <c r="C8" s="52"/>
      <c r="E8" s="265"/>
      <c r="F8" s="61">
        <f>F92</f>
        <v>0</v>
      </c>
      <c r="G8" s="133" t="s">
        <v>149</v>
      </c>
      <c r="H8" s="134">
        <v>197.6</v>
      </c>
      <c r="I8" s="134" t="s">
        <v>0</v>
      </c>
      <c r="R8" s="197"/>
      <c r="S8" s="197"/>
    </row>
    <row r="9" spans="1:19" x14ac:dyDescent="0.2">
      <c r="A9" s="60" t="s">
        <v>21</v>
      </c>
      <c r="B9" s="202" t="s">
        <v>23</v>
      </c>
      <c r="C9" s="52"/>
      <c r="E9" s="265"/>
      <c r="F9" s="61">
        <f>F98</f>
        <v>0</v>
      </c>
      <c r="G9" s="133" t="s">
        <v>158</v>
      </c>
      <c r="H9" s="134">
        <v>256</v>
      </c>
      <c r="I9" s="134" t="s">
        <v>0</v>
      </c>
      <c r="R9" s="197"/>
      <c r="S9" s="197"/>
    </row>
    <row r="10" spans="1:19" x14ac:dyDescent="0.2">
      <c r="A10" s="62" t="s">
        <v>22</v>
      </c>
      <c r="B10" s="63" t="s">
        <v>25</v>
      </c>
      <c r="C10" s="64"/>
      <c r="D10" s="64"/>
      <c r="E10" s="266"/>
      <c r="F10" s="65">
        <f>F106</f>
        <v>0</v>
      </c>
      <c r="G10" s="133" t="s">
        <v>159</v>
      </c>
      <c r="H10" s="134">
        <v>162.5</v>
      </c>
      <c r="I10" s="134" t="s">
        <v>0</v>
      </c>
      <c r="R10" s="197"/>
      <c r="S10" s="197"/>
    </row>
    <row r="11" spans="1:19" x14ac:dyDescent="0.2">
      <c r="A11" s="57"/>
      <c r="B11" s="60" t="s">
        <v>26</v>
      </c>
      <c r="C11" s="58"/>
      <c r="D11" s="58"/>
      <c r="E11" s="264"/>
      <c r="F11" s="61">
        <f>SUM(F5:F10)</f>
        <v>0</v>
      </c>
      <c r="G11" s="133" t="s">
        <v>200</v>
      </c>
      <c r="H11" s="134">
        <f>3.57+5.38+6.63+5.5+5.25+3.05</f>
        <v>29.38</v>
      </c>
      <c r="I11" s="134" t="s">
        <v>142</v>
      </c>
      <c r="R11" s="197"/>
      <c r="S11" s="197"/>
    </row>
    <row r="12" spans="1:19" ht="13.5" thickBot="1" x14ac:dyDescent="0.25">
      <c r="A12" s="57"/>
      <c r="C12" s="58"/>
      <c r="D12" s="58"/>
      <c r="E12" s="264"/>
      <c r="F12" s="61"/>
      <c r="R12" s="197"/>
      <c r="S12" s="197"/>
    </row>
    <row r="13" spans="1:19" ht="13.5" thickBot="1" x14ac:dyDescent="0.25">
      <c r="A13" s="66" t="s">
        <v>27</v>
      </c>
      <c r="B13" s="67" t="s">
        <v>28</v>
      </c>
      <c r="C13" s="68" t="s">
        <v>6</v>
      </c>
      <c r="D13" s="68" t="s">
        <v>9</v>
      </c>
      <c r="E13" s="267" t="s">
        <v>7</v>
      </c>
      <c r="F13" s="69" t="s">
        <v>8</v>
      </c>
      <c r="R13" s="197"/>
      <c r="S13" s="197"/>
    </row>
    <row r="14" spans="1:19" x14ac:dyDescent="0.2">
      <c r="A14" s="57"/>
      <c r="B14" s="57"/>
      <c r="C14" s="58"/>
      <c r="D14" s="58"/>
      <c r="E14" s="264"/>
      <c r="F14" s="59"/>
      <c r="R14" s="197"/>
      <c r="S14" s="197"/>
    </row>
    <row r="15" spans="1:19" ht="89.25" x14ac:dyDescent="0.2">
      <c r="A15" s="57"/>
      <c r="B15" s="70" t="s">
        <v>295</v>
      </c>
      <c r="C15" s="58"/>
      <c r="D15" s="58"/>
      <c r="E15" s="264"/>
      <c r="F15" s="59"/>
      <c r="R15" s="197"/>
      <c r="S15" s="197"/>
    </row>
    <row r="16" spans="1:19" x14ac:dyDescent="0.2">
      <c r="A16" s="57"/>
      <c r="B16" s="57"/>
      <c r="C16" s="58"/>
      <c r="D16" s="58"/>
      <c r="E16" s="264"/>
      <c r="F16" s="59"/>
      <c r="R16" s="197"/>
      <c r="S16" s="197"/>
    </row>
    <row r="17" spans="1:19" x14ac:dyDescent="0.2">
      <c r="A17" s="57" t="s">
        <v>14</v>
      </c>
      <c r="B17" s="57" t="s">
        <v>29</v>
      </c>
      <c r="C17" s="52"/>
      <c r="E17" s="265"/>
      <c r="F17" s="61"/>
      <c r="R17" s="197"/>
      <c r="S17" s="197"/>
    </row>
    <row r="18" spans="1:19" x14ac:dyDescent="0.2">
      <c r="A18" s="57"/>
      <c r="B18" s="57"/>
      <c r="C18" s="52"/>
      <c r="E18" s="265"/>
      <c r="F18" s="61"/>
      <c r="R18" s="197"/>
      <c r="S18" s="197"/>
    </row>
    <row r="19" spans="1:19" s="72" customFormat="1" ht="25.5" x14ac:dyDescent="0.2">
      <c r="A19" s="57"/>
      <c r="B19" s="71" t="s">
        <v>76</v>
      </c>
      <c r="C19" s="52"/>
      <c r="D19" s="52"/>
      <c r="E19" s="265"/>
      <c r="F19" s="61"/>
      <c r="R19" s="197"/>
      <c r="S19" s="197"/>
    </row>
    <row r="20" spans="1:19" s="72" customFormat="1" x14ac:dyDescent="0.2">
      <c r="A20" s="57"/>
      <c r="B20" s="57"/>
      <c r="C20" s="52"/>
      <c r="D20" s="52"/>
      <c r="E20" s="265"/>
      <c r="F20" s="61"/>
      <c r="R20" s="197"/>
      <c r="S20" s="197"/>
    </row>
    <row r="21" spans="1:19" s="72" customFormat="1" ht="25.5" x14ac:dyDescent="0.2">
      <c r="A21" s="60" t="s">
        <v>30</v>
      </c>
      <c r="B21" s="204" t="s">
        <v>77</v>
      </c>
      <c r="C21" s="225" t="s">
        <v>1</v>
      </c>
      <c r="D21" s="225">
        <v>17</v>
      </c>
      <c r="E21" s="268"/>
      <c r="F21" s="226">
        <f>D21*E21</f>
        <v>0</v>
      </c>
      <c r="G21" s="72">
        <f>H11</f>
        <v>29.38</v>
      </c>
      <c r="R21" s="197"/>
      <c r="S21" s="197"/>
    </row>
    <row r="22" spans="1:19" s="72" customFormat="1" x14ac:dyDescent="0.2">
      <c r="A22" s="60"/>
      <c r="B22" s="204"/>
      <c r="C22" s="225"/>
      <c r="D22" s="225"/>
      <c r="E22" s="268"/>
      <c r="F22" s="226"/>
      <c r="R22" s="197"/>
      <c r="S22" s="197"/>
    </row>
    <row r="23" spans="1:19" s="72" customFormat="1" ht="25.5" x14ac:dyDescent="0.2">
      <c r="A23" s="60" t="s">
        <v>31</v>
      </c>
      <c r="B23" s="204" t="s">
        <v>147</v>
      </c>
      <c r="C23" s="225" t="s">
        <v>1</v>
      </c>
      <c r="D23" s="225">
        <v>17</v>
      </c>
      <c r="E23" s="268"/>
      <c r="F23" s="226">
        <f>D23*E23</f>
        <v>0</v>
      </c>
      <c r="R23" s="197"/>
      <c r="S23" s="197"/>
    </row>
    <row r="24" spans="1:19" s="72" customFormat="1" x14ac:dyDescent="0.2">
      <c r="A24" s="60"/>
      <c r="B24" s="204"/>
      <c r="C24" s="225"/>
      <c r="D24" s="225"/>
      <c r="E24" s="268"/>
      <c r="F24" s="226"/>
      <c r="R24" s="197"/>
      <c r="S24" s="197"/>
    </row>
    <row r="25" spans="1:19" s="72" customFormat="1" ht="51" x14ac:dyDescent="0.2">
      <c r="A25" s="60" t="s">
        <v>33</v>
      </c>
      <c r="B25" s="204" t="s">
        <v>32</v>
      </c>
      <c r="C25" s="225" t="s">
        <v>0</v>
      </c>
      <c r="D25" s="225">
        <v>295</v>
      </c>
      <c r="E25" s="268"/>
      <c r="F25" s="226">
        <f>D25*E25</f>
        <v>0</v>
      </c>
      <c r="G25" s="72">
        <f>H4</f>
        <v>1312</v>
      </c>
      <c r="R25" s="197"/>
      <c r="S25" s="197"/>
    </row>
    <row r="26" spans="1:19" s="72" customFormat="1" x14ac:dyDescent="0.2">
      <c r="A26" s="60"/>
      <c r="B26" s="204"/>
      <c r="C26" s="225"/>
      <c r="D26" s="225"/>
      <c r="E26" s="268"/>
      <c r="F26" s="226"/>
      <c r="R26" s="197"/>
      <c r="S26" s="197"/>
    </row>
    <row r="27" spans="1:19" ht="25.5" x14ac:dyDescent="0.2">
      <c r="A27" s="60" t="s">
        <v>34</v>
      </c>
      <c r="B27" s="202" t="s">
        <v>308</v>
      </c>
      <c r="C27" s="52" t="s">
        <v>1</v>
      </c>
      <c r="D27" s="52">
        <v>81.3</v>
      </c>
      <c r="E27" s="265"/>
      <c r="F27" s="61">
        <f>D27*E27</f>
        <v>0</v>
      </c>
      <c r="G27" s="72"/>
      <c r="R27" s="197"/>
      <c r="S27" s="197"/>
    </row>
    <row r="28" spans="1:19" s="76" customFormat="1" x14ac:dyDescent="0.2">
      <c r="A28" s="60"/>
      <c r="B28" s="73"/>
      <c r="C28" s="227"/>
      <c r="D28" s="227"/>
      <c r="E28" s="269"/>
      <c r="F28" s="74"/>
      <c r="G28" s="75"/>
      <c r="R28" s="197"/>
      <c r="S28" s="197"/>
    </row>
    <row r="29" spans="1:19" s="76" customFormat="1" x14ac:dyDescent="0.2">
      <c r="A29" s="60" t="s">
        <v>35</v>
      </c>
      <c r="B29" s="203" t="s">
        <v>215</v>
      </c>
      <c r="C29" s="227" t="s">
        <v>2</v>
      </c>
      <c r="D29" s="227">
        <v>9</v>
      </c>
      <c r="E29" s="269"/>
      <c r="F29" s="74">
        <f>D29*E29</f>
        <v>0</v>
      </c>
      <c r="G29" s="72"/>
      <c r="H29" s="74"/>
      <c r="R29" s="197"/>
      <c r="S29" s="197"/>
    </row>
    <row r="30" spans="1:19" s="72" customFormat="1" x14ac:dyDescent="0.2">
      <c r="A30" s="60"/>
      <c r="B30" s="204"/>
      <c r="C30" s="225"/>
      <c r="D30" s="225"/>
      <c r="E30" s="268"/>
      <c r="F30" s="226"/>
      <c r="R30" s="197"/>
      <c r="S30" s="197"/>
    </row>
    <row r="31" spans="1:19" ht="25.5" x14ac:dyDescent="0.2">
      <c r="A31" s="60" t="s">
        <v>36</v>
      </c>
      <c r="B31" s="202" t="s">
        <v>309</v>
      </c>
      <c r="C31" s="52" t="s">
        <v>2</v>
      </c>
      <c r="D31" s="52">
        <v>1</v>
      </c>
      <c r="E31" s="265"/>
      <c r="F31" s="61">
        <f>D31*E31</f>
        <v>0</v>
      </c>
      <c r="G31" s="54">
        <v>387.2</v>
      </c>
      <c r="H31" s="61" t="s">
        <v>142</v>
      </c>
      <c r="R31" s="197"/>
      <c r="S31" s="197"/>
    </row>
    <row r="32" spans="1:19" x14ac:dyDescent="0.2">
      <c r="A32" s="246"/>
      <c r="B32" s="77"/>
      <c r="C32" s="228"/>
      <c r="D32" s="228"/>
      <c r="E32" s="270"/>
      <c r="F32" s="229"/>
      <c r="H32" s="61"/>
      <c r="R32" s="197"/>
      <c r="S32" s="197"/>
    </row>
    <row r="33" spans="1:19" x14ac:dyDescent="0.2">
      <c r="A33" s="57" t="s">
        <v>14</v>
      </c>
      <c r="B33" s="57" t="s">
        <v>43</v>
      </c>
      <c r="C33" s="58"/>
      <c r="D33" s="58"/>
      <c r="E33" s="264"/>
      <c r="F33" s="59">
        <f>SUM(F21:F31)</f>
        <v>0</v>
      </c>
      <c r="H33" s="61"/>
      <c r="R33" s="197"/>
      <c r="S33" s="197"/>
    </row>
    <row r="34" spans="1:19" x14ac:dyDescent="0.2">
      <c r="A34" s="57"/>
      <c r="B34" s="57"/>
      <c r="C34" s="52"/>
      <c r="E34" s="265"/>
      <c r="F34" s="61"/>
      <c r="H34" s="61"/>
      <c r="R34" s="197"/>
      <c r="S34" s="197"/>
    </row>
    <row r="35" spans="1:19" s="241" customFormat="1" x14ac:dyDescent="0.2">
      <c r="A35" s="57" t="s">
        <v>16</v>
      </c>
      <c r="B35" s="57" t="s">
        <v>17</v>
      </c>
      <c r="C35" s="52"/>
      <c r="D35" s="52"/>
      <c r="E35" s="265"/>
      <c r="F35" s="61"/>
      <c r="G35" s="247"/>
      <c r="H35" s="215"/>
      <c r="R35" s="248"/>
      <c r="S35" s="248"/>
    </row>
    <row r="36" spans="1:19" s="241" customFormat="1" x14ac:dyDescent="0.2">
      <c r="A36" s="60"/>
      <c r="B36" s="60"/>
      <c r="C36" s="52"/>
      <c r="D36" s="52"/>
      <c r="E36" s="265"/>
      <c r="F36" s="61"/>
      <c r="G36" s="247"/>
      <c r="H36" s="215"/>
      <c r="R36" s="248"/>
      <c r="S36" s="248"/>
    </row>
    <row r="37" spans="1:19" s="241" customFormat="1" x14ac:dyDescent="0.2">
      <c r="A37" s="57" t="s">
        <v>233</v>
      </c>
      <c r="B37" s="57" t="s">
        <v>44</v>
      </c>
      <c r="C37" s="52"/>
      <c r="D37" s="52"/>
      <c r="E37" s="265"/>
      <c r="F37" s="61"/>
      <c r="G37" s="247"/>
      <c r="H37" s="215"/>
      <c r="R37" s="248"/>
      <c r="S37" s="248"/>
    </row>
    <row r="38" spans="1:19" s="241" customFormat="1" x14ac:dyDescent="0.2">
      <c r="A38" s="57"/>
      <c r="B38" s="57"/>
      <c r="C38" s="52"/>
      <c r="D38" s="52"/>
      <c r="E38" s="265"/>
      <c r="F38" s="61"/>
      <c r="G38" s="247"/>
      <c r="H38" s="215"/>
      <c r="R38" s="248"/>
      <c r="S38" s="248"/>
    </row>
    <row r="39" spans="1:19" s="250" customFormat="1" ht="25.5" x14ac:dyDescent="0.2">
      <c r="A39" s="57"/>
      <c r="B39" s="71" t="s">
        <v>310</v>
      </c>
      <c r="C39" s="52"/>
      <c r="D39" s="52"/>
      <c r="E39" s="265"/>
      <c r="F39" s="61"/>
      <c r="G39" s="249"/>
      <c r="H39" s="217"/>
      <c r="R39" s="248"/>
      <c r="S39" s="248"/>
    </row>
    <row r="40" spans="1:19" s="241" customFormat="1" x14ac:dyDescent="0.2">
      <c r="A40" s="57"/>
      <c r="B40" s="202"/>
      <c r="C40" s="52"/>
      <c r="D40" s="52"/>
      <c r="E40" s="265"/>
      <c r="F40" s="61"/>
      <c r="G40" s="247"/>
      <c r="H40" s="215"/>
      <c r="R40" s="248"/>
      <c r="S40" s="248"/>
    </row>
    <row r="41" spans="1:19" s="241" customFormat="1" ht="53.25" customHeight="1" x14ac:dyDescent="0.2">
      <c r="A41" s="73" t="s">
        <v>45</v>
      </c>
      <c r="B41" s="203" t="s">
        <v>78</v>
      </c>
      <c r="C41" s="227" t="s">
        <v>3</v>
      </c>
      <c r="D41" s="227">
        <v>31</v>
      </c>
      <c r="E41" s="269"/>
      <c r="F41" s="74">
        <f>D41*E41</f>
        <v>0</v>
      </c>
      <c r="G41" s="249">
        <f>H3*0.2</f>
        <v>150</v>
      </c>
      <c r="H41" s="215"/>
      <c r="R41" s="248"/>
      <c r="S41" s="248"/>
    </row>
    <row r="42" spans="1:19" s="241" customFormat="1" x14ac:dyDescent="0.2">
      <c r="A42" s="57"/>
      <c r="B42" s="202"/>
      <c r="C42" s="52"/>
      <c r="D42" s="52"/>
      <c r="E42" s="265"/>
      <c r="F42" s="61"/>
      <c r="G42" s="247"/>
      <c r="H42" s="215"/>
      <c r="R42" s="248"/>
      <c r="S42" s="248"/>
    </row>
    <row r="43" spans="1:19" s="241" customFormat="1" ht="27.75" customHeight="1" x14ac:dyDescent="0.2">
      <c r="A43" s="73" t="s">
        <v>46</v>
      </c>
      <c r="B43" s="202" t="s">
        <v>296</v>
      </c>
      <c r="C43" s="52" t="s">
        <v>3</v>
      </c>
      <c r="D43" s="52">
        <v>270</v>
      </c>
      <c r="E43" s="265"/>
      <c r="F43" s="61">
        <f>D43*E43</f>
        <v>0</v>
      </c>
      <c r="G43" s="249">
        <f>IZKOPI!G67*1.1</f>
        <v>1915.3029499999996</v>
      </c>
      <c r="H43" s="215"/>
      <c r="R43" s="248"/>
      <c r="S43" s="248"/>
    </row>
    <row r="44" spans="1:19" s="241" customFormat="1" x14ac:dyDescent="0.2">
      <c r="A44" s="57"/>
      <c r="B44" s="202"/>
      <c r="C44" s="52"/>
      <c r="D44" s="52"/>
      <c r="E44" s="265"/>
      <c r="F44" s="61"/>
      <c r="G44" s="247"/>
      <c r="H44" s="215"/>
      <c r="R44" s="248"/>
      <c r="S44" s="248"/>
    </row>
    <row r="45" spans="1:19" s="241" customFormat="1" ht="89.25" x14ac:dyDescent="0.2">
      <c r="A45" s="73" t="s">
        <v>47</v>
      </c>
      <c r="B45" s="202" t="s">
        <v>297</v>
      </c>
      <c r="C45" s="52" t="s">
        <v>3</v>
      </c>
      <c r="D45" s="52">
        <v>324</v>
      </c>
      <c r="E45" s="265"/>
      <c r="F45" s="61">
        <f>D45*E45</f>
        <v>0</v>
      </c>
      <c r="G45" s="247"/>
      <c r="H45" s="215"/>
      <c r="R45" s="248"/>
      <c r="S45" s="248"/>
    </row>
    <row r="46" spans="1:19" s="241" customFormat="1" x14ac:dyDescent="0.2">
      <c r="A46" s="60"/>
      <c r="B46" s="202"/>
      <c r="C46" s="52"/>
      <c r="D46" s="52"/>
      <c r="E46" s="265"/>
      <c r="F46" s="61"/>
      <c r="G46" s="247"/>
      <c r="H46" s="215"/>
      <c r="R46" s="248"/>
      <c r="S46" s="248"/>
    </row>
    <row r="47" spans="1:19" s="241" customFormat="1" x14ac:dyDescent="0.2">
      <c r="A47" s="57" t="s">
        <v>48</v>
      </c>
      <c r="B47" s="57" t="s">
        <v>49</v>
      </c>
      <c r="C47" s="52"/>
      <c r="D47" s="52"/>
      <c r="E47" s="265"/>
      <c r="F47" s="61"/>
      <c r="G47" s="249"/>
      <c r="H47" s="215"/>
      <c r="R47" s="248"/>
      <c r="S47" s="248"/>
    </row>
    <row r="48" spans="1:19" x14ac:dyDescent="0.2">
      <c r="A48" s="57"/>
      <c r="B48" s="57"/>
      <c r="C48" s="52"/>
      <c r="E48" s="265"/>
      <c r="F48" s="61"/>
      <c r="H48" s="61"/>
    </row>
    <row r="49" spans="1:19" s="76" customFormat="1" ht="53.25" customHeight="1" x14ac:dyDescent="0.2">
      <c r="A49" s="60" t="s">
        <v>206</v>
      </c>
      <c r="B49" s="202" t="s">
        <v>146</v>
      </c>
      <c r="C49" s="52" t="s">
        <v>0</v>
      </c>
      <c r="D49" s="52">
        <v>495.00000000000006</v>
      </c>
      <c r="E49" s="265"/>
      <c r="F49" s="61">
        <f>D49*E49</f>
        <v>0</v>
      </c>
      <c r="G49" s="72"/>
      <c r="H49" s="74"/>
      <c r="R49"/>
      <c r="S49"/>
    </row>
    <row r="50" spans="1:19" x14ac:dyDescent="0.2">
      <c r="A50" s="60"/>
      <c r="B50" s="202"/>
      <c r="C50" s="52"/>
      <c r="E50" s="265"/>
      <c r="F50" s="61"/>
      <c r="H50" s="61"/>
    </row>
    <row r="51" spans="1:19" s="78" customFormat="1" ht="76.5" x14ac:dyDescent="0.2">
      <c r="A51" s="60" t="s">
        <v>50</v>
      </c>
      <c r="B51" s="202" t="s">
        <v>248</v>
      </c>
      <c r="C51" s="52" t="s">
        <v>0</v>
      </c>
      <c r="D51" s="52">
        <v>495.00000000000006</v>
      </c>
      <c r="E51" s="265"/>
      <c r="F51" s="61">
        <f>D51*E51</f>
        <v>0</v>
      </c>
      <c r="G51" s="72"/>
      <c r="R51"/>
      <c r="S51"/>
    </row>
    <row r="52" spans="1:19" x14ac:dyDescent="0.2">
      <c r="A52" s="60"/>
      <c r="B52" s="79"/>
      <c r="C52" s="239"/>
      <c r="D52" s="239"/>
      <c r="E52" s="271"/>
      <c r="F52" s="240"/>
      <c r="H52" s="61"/>
    </row>
    <row r="53" spans="1:19" x14ac:dyDescent="0.2">
      <c r="A53" s="57" t="s">
        <v>51</v>
      </c>
      <c r="B53" s="57" t="s">
        <v>52</v>
      </c>
      <c r="C53" s="52"/>
      <c r="E53" s="265"/>
      <c r="F53" s="61"/>
      <c r="G53" s="72"/>
      <c r="H53" s="61"/>
    </row>
    <row r="54" spans="1:19" x14ac:dyDescent="0.2">
      <c r="A54" s="57"/>
      <c r="B54" s="57"/>
      <c r="C54" s="52"/>
      <c r="E54" s="265"/>
      <c r="F54" s="61"/>
      <c r="H54" s="61"/>
    </row>
    <row r="55" spans="1:19" ht="52.5" customHeight="1" x14ac:dyDescent="0.2">
      <c r="A55" s="60" t="s">
        <v>53</v>
      </c>
      <c r="B55" s="202" t="s">
        <v>145</v>
      </c>
      <c r="C55" s="52" t="s">
        <v>3</v>
      </c>
      <c r="D55" s="52">
        <v>198.00000000000003</v>
      </c>
      <c r="E55" s="265"/>
      <c r="F55" s="61">
        <f>D55*E55</f>
        <v>0</v>
      </c>
      <c r="H55" s="61"/>
    </row>
    <row r="56" spans="1:19" x14ac:dyDescent="0.2">
      <c r="A56" s="60"/>
      <c r="B56" s="202"/>
      <c r="C56" s="52"/>
      <c r="E56" s="265"/>
      <c r="F56" s="61"/>
      <c r="H56" s="61"/>
    </row>
    <row r="57" spans="1:19" x14ac:dyDescent="0.2">
      <c r="A57" s="57" t="s">
        <v>152</v>
      </c>
      <c r="B57" s="57" t="s">
        <v>153</v>
      </c>
      <c r="C57" s="52"/>
      <c r="E57" s="265"/>
      <c r="F57" s="61"/>
      <c r="G57" s="83"/>
      <c r="H57" s="61"/>
    </row>
    <row r="58" spans="1:19" x14ac:dyDescent="0.2">
      <c r="A58" s="57"/>
      <c r="B58" s="57"/>
      <c r="C58" s="52"/>
      <c r="E58" s="265"/>
      <c r="F58" s="61"/>
      <c r="G58" s="83"/>
      <c r="H58" s="61"/>
    </row>
    <row r="59" spans="1:19" ht="38.25" x14ac:dyDescent="0.2">
      <c r="A59" s="60" t="s">
        <v>154</v>
      </c>
      <c r="B59" s="202" t="s">
        <v>155</v>
      </c>
      <c r="C59" s="52" t="s">
        <v>3</v>
      </c>
      <c r="D59" s="52">
        <v>9.75</v>
      </c>
      <c r="E59" s="265"/>
      <c r="F59" s="61">
        <f>D59*E59</f>
        <v>0</v>
      </c>
      <c r="G59" s="83">
        <f>(H9+H10)*0.15</f>
        <v>62.774999999999999</v>
      </c>
      <c r="H59" s="61"/>
    </row>
    <row r="60" spans="1:19" x14ac:dyDescent="0.2">
      <c r="A60" s="60"/>
      <c r="B60" s="202"/>
      <c r="C60" s="52"/>
      <c r="E60" s="265"/>
      <c r="F60" s="61"/>
      <c r="G60" s="83"/>
      <c r="H60" s="61"/>
    </row>
    <row r="61" spans="1:19" ht="25.5" x14ac:dyDescent="0.2">
      <c r="A61" s="60" t="s">
        <v>156</v>
      </c>
      <c r="B61" s="202" t="s">
        <v>157</v>
      </c>
      <c r="C61" s="52" t="s">
        <v>3</v>
      </c>
      <c r="D61" s="52">
        <v>13</v>
      </c>
      <c r="E61" s="265"/>
      <c r="F61" s="61">
        <f>D61*E61</f>
        <v>0</v>
      </c>
      <c r="G61" s="83">
        <f>(H9+H10)*0.2</f>
        <v>83.7</v>
      </c>
      <c r="H61" s="61"/>
    </row>
    <row r="62" spans="1:19" x14ac:dyDescent="0.2">
      <c r="A62" s="62"/>
      <c r="B62" s="63"/>
      <c r="C62" s="230"/>
      <c r="D62" s="230"/>
      <c r="E62" s="272"/>
      <c r="F62" s="65"/>
      <c r="H62" s="61"/>
    </row>
    <row r="63" spans="1:19" s="76" customFormat="1" x14ac:dyDescent="0.2">
      <c r="A63" s="57" t="s">
        <v>16</v>
      </c>
      <c r="B63" s="57" t="s">
        <v>218</v>
      </c>
      <c r="C63" s="58"/>
      <c r="D63" s="58"/>
      <c r="E63" s="264"/>
      <c r="F63" s="59">
        <f>SUM(F41:F61)</f>
        <v>0</v>
      </c>
      <c r="G63" s="75"/>
      <c r="H63" s="74"/>
      <c r="R63"/>
      <c r="S63"/>
    </row>
    <row r="64" spans="1:19" s="76" customFormat="1" x14ac:dyDescent="0.2">
      <c r="A64" s="57"/>
      <c r="B64" s="57"/>
      <c r="C64" s="52"/>
      <c r="D64" s="52"/>
      <c r="E64" s="265"/>
      <c r="F64" s="61"/>
      <c r="G64" s="75"/>
      <c r="H64" s="74"/>
      <c r="R64"/>
      <c r="S64"/>
    </row>
    <row r="65" spans="1:19" s="80" customFormat="1" x14ac:dyDescent="0.2">
      <c r="A65" s="57" t="s">
        <v>18</v>
      </c>
      <c r="B65" s="57" t="s">
        <v>54</v>
      </c>
      <c r="C65" s="52"/>
      <c r="D65" s="52"/>
      <c r="E65" s="265"/>
      <c r="F65" s="61"/>
      <c r="R65"/>
      <c r="S65"/>
    </row>
    <row r="66" spans="1:19" s="80" customFormat="1" x14ac:dyDescent="0.2">
      <c r="A66" s="60"/>
      <c r="B66" s="202"/>
      <c r="C66" s="52"/>
      <c r="D66" s="52"/>
      <c r="E66" s="265"/>
      <c r="F66" s="61"/>
      <c r="R66"/>
      <c r="S66"/>
    </row>
    <row r="67" spans="1:19" x14ac:dyDescent="0.2">
      <c r="A67" s="57" t="s">
        <v>55</v>
      </c>
      <c r="B67" s="71" t="s">
        <v>56</v>
      </c>
      <c r="C67" s="52"/>
      <c r="E67" s="265"/>
      <c r="F67" s="61"/>
      <c r="H67" s="61"/>
    </row>
    <row r="68" spans="1:19" x14ac:dyDescent="0.2">
      <c r="A68" s="57"/>
      <c r="B68" s="71"/>
      <c r="C68" s="52"/>
      <c r="E68" s="265"/>
      <c r="F68" s="61"/>
      <c r="H68" s="61"/>
    </row>
    <row r="69" spans="1:19" s="76" customFormat="1" ht="66" customHeight="1" x14ac:dyDescent="0.2">
      <c r="A69" s="60" t="s">
        <v>57</v>
      </c>
      <c r="B69" s="202" t="s">
        <v>144</v>
      </c>
      <c r="C69" s="52" t="s">
        <v>3</v>
      </c>
      <c r="D69" s="52">
        <v>148.5</v>
      </c>
      <c r="E69" s="265"/>
      <c r="F69" s="61">
        <f>D69*E69</f>
        <v>0</v>
      </c>
      <c r="G69" s="75"/>
      <c r="H69" s="74"/>
      <c r="R69"/>
      <c r="S69"/>
    </row>
    <row r="70" spans="1:19" s="76" customFormat="1" x14ac:dyDescent="0.2">
      <c r="A70" s="60"/>
      <c r="B70" s="202"/>
      <c r="C70" s="52"/>
      <c r="D70" s="52"/>
      <c r="E70" s="265"/>
      <c r="F70" s="61"/>
      <c r="G70" s="75"/>
      <c r="H70" s="74"/>
      <c r="R70"/>
      <c r="S70"/>
    </row>
    <row r="71" spans="1:19" x14ac:dyDescent="0.2">
      <c r="A71" s="81" t="s">
        <v>58</v>
      </c>
      <c r="B71" s="82" t="s">
        <v>59</v>
      </c>
      <c r="C71" s="227"/>
      <c r="D71" s="227"/>
      <c r="E71" s="269"/>
      <c r="F71" s="74"/>
      <c r="H71" s="61"/>
    </row>
    <row r="72" spans="1:19" x14ac:dyDescent="0.2">
      <c r="A72" s="81"/>
      <c r="B72" s="82"/>
      <c r="C72" s="227"/>
      <c r="D72" s="227"/>
      <c r="E72" s="269"/>
      <c r="F72" s="74"/>
      <c r="H72" s="61"/>
    </row>
    <row r="73" spans="1:19" ht="25.5" x14ac:dyDescent="0.2">
      <c r="A73" s="73" t="s">
        <v>60</v>
      </c>
      <c r="B73" s="79" t="s">
        <v>204</v>
      </c>
      <c r="C73" s="227" t="s">
        <v>0</v>
      </c>
      <c r="D73" s="227">
        <v>432</v>
      </c>
      <c r="E73" s="269"/>
      <c r="F73" s="74">
        <f>E73*D73</f>
        <v>0</v>
      </c>
      <c r="H73" s="61"/>
    </row>
    <row r="74" spans="1:19" s="32" customFormat="1" x14ac:dyDescent="0.2">
      <c r="A74" s="73"/>
      <c r="B74" s="79"/>
      <c r="C74" s="227"/>
      <c r="D74" s="227"/>
      <c r="E74" s="269"/>
      <c r="F74" s="74"/>
      <c r="H74" s="41"/>
      <c r="R74"/>
      <c r="S74"/>
    </row>
    <row r="75" spans="1:19" s="83" customFormat="1" x14ac:dyDescent="0.2">
      <c r="A75" s="81" t="s">
        <v>61</v>
      </c>
      <c r="B75" s="82" t="s">
        <v>62</v>
      </c>
      <c r="C75" s="227"/>
      <c r="D75" s="227"/>
      <c r="E75" s="269"/>
      <c r="F75" s="74"/>
      <c r="R75"/>
      <c r="S75"/>
    </row>
    <row r="76" spans="1:19" s="83" customFormat="1" x14ac:dyDescent="0.2">
      <c r="A76" s="81"/>
      <c r="B76" s="82"/>
      <c r="C76" s="227"/>
      <c r="D76" s="227"/>
      <c r="E76" s="269"/>
      <c r="F76" s="74"/>
      <c r="R76"/>
      <c r="S76"/>
    </row>
    <row r="77" spans="1:19" ht="25.5" x14ac:dyDescent="0.2">
      <c r="A77" s="73" t="s">
        <v>63</v>
      </c>
      <c r="B77" s="79" t="s">
        <v>213</v>
      </c>
      <c r="C77" s="227" t="s">
        <v>0</v>
      </c>
      <c r="D77" s="227">
        <v>432</v>
      </c>
      <c r="E77" s="269"/>
      <c r="F77" s="74">
        <f>D77*E77</f>
        <v>0</v>
      </c>
      <c r="G77" s="54" t="e">
        <f>H5+H8+#REF!</f>
        <v>#REF!</v>
      </c>
      <c r="H77" s="61"/>
    </row>
    <row r="78" spans="1:19" x14ac:dyDescent="0.2">
      <c r="A78" s="73"/>
      <c r="B78" s="79"/>
      <c r="C78" s="227"/>
      <c r="D78" s="227"/>
      <c r="E78" s="269"/>
      <c r="F78" s="74"/>
      <c r="H78" s="61"/>
    </row>
    <row r="79" spans="1:19" ht="63.75" x14ac:dyDescent="0.2">
      <c r="A79" s="73" t="s">
        <v>64</v>
      </c>
      <c r="B79" s="79" t="s">
        <v>318</v>
      </c>
      <c r="C79" s="227" t="s">
        <v>0</v>
      </c>
      <c r="D79" s="227">
        <v>31</v>
      </c>
      <c r="E79" s="269"/>
      <c r="F79" s="74">
        <f>D79*E79</f>
        <v>0</v>
      </c>
      <c r="H79" s="61"/>
    </row>
    <row r="80" spans="1:19" x14ac:dyDescent="0.2">
      <c r="A80" s="84"/>
      <c r="B80" s="85"/>
      <c r="C80" s="231"/>
      <c r="D80" s="231"/>
      <c r="E80" s="273"/>
      <c r="F80" s="232"/>
      <c r="H80" s="61"/>
    </row>
    <row r="81" spans="1:19" x14ac:dyDescent="0.2">
      <c r="A81" s="57" t="s">
        <v>18</v>
      </c>
      <c r="B81" s="57" t="s">
        <v>143</v>
      </c>
      <c r="C81" s="58"/>
      <c r="D81" s="58"/>
      <c r="E81" s="264"/>
      <c r="F81" s="59">
        <f>SUM(F69:F79)</f>
        <v>0</v>
      </c>
      <c r="H81" s="61"/>
    </row>
    <row r="82" spans="1:19" s="83" customFormat="1" x14ac:dyDescent="0.2">
      <c r="A82" s="81"/>
      <c r="B82" s="81"/>
      <c r="C82" s="227"/>
      <c r="D82" s="227"/>
      <c r="E82" s="269"/>
      <c r="F82" s="74"/>
      <c r="R82"/>
      <c r="S82"/>
    </row>
    <row r="83" spans="1:19" s="83" customFormat="1" x14ac:dyDescent="0.2">
      <c r="A83" s="81" t="s">
        <v>20</v>
      </c>
      <c r="B83" s="82" t="s">
        <v>311</v>
      </c>
      <c r="C83" s="227"/>
      <c r="D83" s="227"/>
      <c r="E83" s="269"/>
      <c r="F83" s="74"/>
      <c r="R83"/>
      <c r="S83"/>
    </row>
    <row r="84" spans="1:19" s="80" customFormat="1" x14ac:dyDescent="0.2">
      <c r="A84" s="81"/>
      <c r="B84" s="82"/>
      <c r="C84" s="227"/>
      <c r="D84" s="227"/>
      <c r="E84" s="269"/>
      <c r="F84" s="74"/>
      <c r="R84"/>
      <c r="S84"/>
    </row>
    <row r="85" spans="1:19" s="83" customFormat="1" ht="57" customHeight="1" x14ac:dyDescent="0.2">
      <c r="A85" s="73" t="s">
        <v>205</v>
      </c>
      <c r="B85" s="79" t="s">
        <v>317</v>
      </c>
      <c r="C85" s="227" t="s">
        <v>1</v>
      </c>
      <c r="D85" s="227">
        <v>67</v>
      </c>
      <c r="E85" s="269"/>
      <c r="F85" s="74">
        <f>D85*E85</f>
        <v>0</v>
      </c>
      <c r="G85" s="54"/>
      <c r="R85"/>
      <c r="S85"/>
    </row>
    <row r="86" spans="1:19" s="83" customFormat="1" x14ac:dyDescent="0.2">
      <c r="A86" s="73"/>
      <c r="B86" s="79"/>
      <c r="C86" s="227"/>
      <c r="D86" s="227"/>
      <c r="E86" s="269"/>
      <c r="F86" s="74"/>
      <c r="R86"/>
      <c r="S86"/>
    </row>
    <row r="87" spans="1:19" s="83" customFormat="1" ht="42" customHeight="1" x14ac:dyDescent="0.2">
      <c r="A87" s="73" t="s">
        <v>229</v>
      </c>
      <c r="B87" s="79" t="s">
        <v>316</v>
      </c>
      <c r="C87" s="227" t="s">
        <v>1</v>
      </c>
      <c r="D87" s="227">
        <v>30</v>
      </c>
      <c r="E87" s="269"/>
      <c r="F87" s="74">
        <f>D87*E87</f>
        <v>0</v>
      </c>
      <c r="G87" s="54"/>
      <c r="R87"/>
      <c r="S87"/>
    </row>
    <row r="88" spans="1:19" s="83" customFormat="1" x14ac:dyDescent="0.2">
      <c r="A88" s="73"/>
      <c r="B88" s="79"/>
      <c r="C88" s="227"/>
      <c r="D88" s="227"/>
      <c r="E88" s="269"/>
      <c r="F88" s="74"/>
      <c r="R88"/>
      <c r="S88"/>
    </row>
    <row r="89" spans="1:19" s="83" customFormat="1" ht="25.5" x14ac:dyDescent="0.2">
      <c r="A89" s="73" t="s">
        <v>230</v>
      </c>
      <c r="B89" s="79" t="s">
        <v>331</v>
      </c>
      <c r="C89" s="227" t="s">
        <v>0</v>
      </c>
      <c r="D89" s="227">
        <v>45</v>
      </c>
      <c r="E89" s="269"/>
      <c r="F89" s="74">
        <f>D89*E89</f>
        <v>0</v>
      </c>
      <c r="R89"/>
      <c r="S89"/>
    </row>
    <row r="90" spans="1:19" s="83" customFormat="1" x14ac:dyDescent="0.2">
      <c r="A90" s="73"/>
      <c r="B90" s="79"/>
      <c r="C90" s="227"/>
      <c r="D90" s="227"/>
      <c r="E90" s="269"/>
      <c r="F90" s="74"/>
      <c r="R90"/>
      <c r="S90"/>
    </row>
    <row r="91" spans="1:19" s="83" customFormat="1" x14ac:dyDescent="0.2">
      <c r="A91" s="84"/>
      <c r="B91" s="86"/>
      <c r="C91" s="231"/>
      <c r="D91" s="231"/>
      <c r="E91" s="273"/>
      <c r="F91" s="232"/>
      <c r="R91"/>
      <c r="S91"/>
    </row>
    <row r="92" spans="1:19" s="83" customFormat="1" x14ac:dyDescent="0.2">
      <c r="A92" s="81" t="s">
        <v>20</v>
      </c>
      <c r="B92" s="82" t="s">
        <v>312</v>
      </c>
      <c r="C92" s="227"/>
      <c r="D92" s="227"/>
      <c r="E92" s="269"/>
      <c r="F92" s="233">
        <f>SUM(F84:F90)</f>
        <v>0</v>
      </c>
      <c r="R92"/>
      <c r="S92"/>
    </row>
    <row r="93" spans="1:19" x14ac:dyDescent="0.2">
      <c r="A93" s="57"/>
      <c r="B93" s="57"/>
      <c r="C93" s="52"/>
      <c r="E93" s="265"/>
      <c r="F93" s="61"/>
      <c r="H93" s="61"/>
    </row>
    <row r="94" spans="1:19" x14ac:dyDescent="0.2">
      <c r="A94" s="57" t="s">
        <v>21</v>
      </c>
      <c r="B94" s="71" t="s">
        <v>23</v>
      </c>
      <c r="C94" s="52"/>
      <c r="E94" s="265"/>
      <c r="F94" s="61"/>
    </row>
    <row r="95" spans="1:19" s="32" customFormat="1" x14ac:dyDescent="0.2">
      <c r="A95" s="60"/>
      <c r="B95" s="202"/>
      <c r="C95" s="52"/>
      <c r="D95" s="52"/>
      <c r="E95" s="265"/>
      <c r="F95" s="61"/>
      <c r="H95" s="61"/>
      <c r="R95"/>
      <c r="S95"/>
    </row>
    <row r="96" spans="1:19" ht="81" customHeight="1" x14ac:dyDescent="0.2">
      <c r="A96" s="73" t="s">
        <v>65</v>
      </c>
      <c r="B96" s="203" t="s">
        <v>319</v>
      </c>
      <c r="C96" s="227" t="s">
        <v>2</v>
      </c>
      <c r="D96" s="227">
        <v>2</v>
      </c>
      <c r="E96" s="269"/>
      <c r="F96" s="74">
        <f>E96*D96</f>
        <v>0</v>
      </c>
      <c r="H96" s="61" t="s">
        <v>203</v>
      </c>
    </row>
    <row r="97" spans="1:19" x14ac:dyDescent="0.2">
      <c r="A97" s="84"/>
      <c r="B97" s="85"/>
      <c r="C97" s="231"/>
      <c r="D97" s="231"/>
      <c r="E97" s="273"/>
      <c r="F97" s="232"/>
    </row>
    <row r="98" spans="1:19" x14ac:dyDescent="0.2">
      <c r="A98" s="57" t="s">
        <v>21</v>
      </c>
      <c r="B98" s="71" t="s">
        <v>69</v>
      </c>
      <c r="C98" s="52"/>
      <c r="E98" s="265"/>
      <c r="F98" s="59">
        <f>SUM(F95:F96)</f>
        <v>0</v>
      </c>
      <c r="H98" s="61"/>
    </row>
    <row r="99" spans="1:19" s="83" customFormat="1" x14ac:dyDescent="0.2">
      <c r="A99" s="81"/>
      <c r="B99" s="81"/>
      <c r="C99" s="227"/>
      <c r="D99" s="227"/>
      <c r="E99" s="269"/>
      <c r="F99" s="74"/>
      <c r="R99"/>
      <c r="S99"/>
    </row>
    <row r="100" spans="1:19" s="54" customFormat="1" x14ac:dyDescent="0.2">
      <c r="A100" s="57" t="s">
        <v>22</v>
      </c>
      <c r="B100" s="71" t="s">
        <v>25</v>
      </c>
      <c r="C100" s="52"/>
      <c r="D100" s="52"/>
      <c r="E100" s="265"/>
      <c r="F100" s="61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/>
      <c r="S100"/>
    </row>
    <row r="101" spans="1:19" s="54" customFormat="1" x14ac:dyDescent="0.2">
      <c r="A101" s="57"/>
      <c r="B101" s="71"/>
      <c r="C101" s="52"/>
      <c r="D101" s="52"/>
      <c r="E101" s="265"/>
      <c r="F101" s="61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/>
      <c r="S101"/>
    </row>
    <row r="102" spans="1:19" s="54" customFormat="1" ht="63.75" x14ac:dyDescent="0.2">
      <c r="A102" s="60" t="s">
        <v>66</v>
      </c>
      <c r="B102" s="202" t="s">
        <v>333</v>
      </c>
      <c r="C102" s="52"/>
      <c r="D102" s="52"/>
      <c r="E102" s="265"/>
      <c r="F102" s="61">
        <v>0</v>
      </c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/>
      <c r="S102"/>
    </row>
    <row r="103" spans="1:19" s="54" customFormat="1" x14ac:dyDescent="0.2">
      <c r="A103" s="60"/>
      <c r="B103" s="202"/>
      <c r="C103" s="52"/>
      <c r="D103" s="52"/>
      <c r="E103" s="265"/>
      <c r="F103" s="61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/>
      <c r="S103"/>
    </row>
    <row r="104" spans="1:19" s="54" customFormat="1" ht="63.75" x14ac:dyDescent="0.2">
      <c r="A104" s="60" t="s">
        <v>67</v>
      </c>
      <c r="B104" s="202" t="s">
        <v>313</v>
      </c>
      <c r="C104" s="52"/>
      <c r="D104" s="52"/>
      <c r="E104" s="265"/>
      <c r="F104" s="61">
        <f>0.05*(F98+F92+F81+F63+F33)</f>
        <v>0</v>
      </c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/>
      <c r="S104"/>
    </row>
    <row r="105" spans="1:19" s="54" customFormat="1" x14ac:dyDescent="0.2">
      <c r="A105" s="62"/>
      <c r="B105" s="86"/>
      <c r="C105" s="230"/>
      <c r="D105" s="230"/>
      <c r="E105" s="272"/>
      <c r="F105" s="65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/>
      <c r="S105"/>
    </row>
    <row r="106" spans="1:19" s="54" customFormat="1" x14ac:dyDescent="0.2">
      <c r="A106" s="57" t="s">
        <v>22</v>
      </c>
      <c r="B106" s="71" t="s">
        <v>219</v>
      </c>
      <c r="C106" s="52"/>
      <c r="D106" s="52"/>
      <c r="E106" s="265"/>
      <c r="F106" s="59">
        <f>SUM(F102:F104)</f>
        <v>0</v>
      </c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/>
      <c r="S106"/>
    </row>
    <row r="107" spans="1:19" s="54" customFormat="1" ht="13.5" thickBot="1" x14ac:dyDescent="0.25">
      <c r="A107" s="140"/>
      <c r="B107" s="140"/>
      <c r="C107" s="234"/>
      <c r="D107" s="235"/>
      <c r="E107" s="274"/>
      <c r="F107" s="236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/>
      <c r="S107"/>
    </row>
    <row r="108" spans="1:19" s="54" customFormat="1" ht="13.5" thickTop="1" x14ac:dyDescent="0.2">
      <c r="A108" s="57" t="s">
        <v>72</v>
      </c>
      <c r="B108" s="71" t="s">
        <v>217</v>
      </c>
      <c r="C108" s="58"/>
      <c r="D108" s="237"/>
      <c r="E108" s="264"/>
      <c r="F108" s="238">
        <f>F106+F98+F92+F81+F63+F33</f>
        <v>0</v>
      </c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/>
      <c r="S108"/>
    </row>
  </sheetData>
  <sheetProtection algorithmName="SHA-512" hashValue="Utw9mW6koc7iOW/AFuPOih5jURs2XDBPS9sY4vrfjzC/7VnE7qq0Bad+idMsvevXD2B7Jn7QMUSD0Z2iZxM6IA==" saltValue="W2WKfA/TBUgk1IkMw4YHsQ==" spinCount="100000" sheet="1" objects="1" scenarios="1"/>
  <protectedRanges>
    <protectedRange sqref="E32 E25 R25 R32" name="cena an enoto_5"/>
    <protectedRange sqref="E21:E24 E30 R21:R24 R30" name="cena an enoto_1_2"/>
    <protectedRange sqref="E26 R26" name="cena an enoto_1_1_1"/>
  </protectedRanges>
  <pageMargins left="0.70866141732283472" right="0.70866141732283472" top="0.74803149606299213" bottom="0.74803149606299213" header="0.31496062992125984" footer="0.31496062992125984"/>
  <pageSetup paperSize="9" scale="97" orientation="portrait" r:id="rId1"/>
  <headerFooter>
    <oddFooter>&amp;RStran &amp;P od &amp;N</oddFooter>
  </headerFooter>
  <rowBreaks count="3" manualBreakCount="3">
    <brk id="34" max="5" man="1"/>
    <brk id="64" max="5" man="1"/>
    <brk id="99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14"/>
  <sheetViews>
    <sheetView view="pageBreakPreview" zoomScaleNormal="100" zoomScaleSheetLayoutView="100" workbookViewId="0">
      <selection activeCell="E22" sqref="E22"/>
    </sheetView>
  </sheetViews>
  <sheetFormatPr defaultColWidth="9.140625" defaultRowHeight="12.75" x14ac:dyDescent="0.2"/>
  <cols>
    <col min="1" max="1" width="10.28515625" style="50" customWidth="1"/>
    <col min="2" max="2" width="36.42578125" style="50" customWidth="1"/>
    <col min="3" max="3" width="9.7109375" style="51" customWidth="1"/>
    <col min="4" max="4" width="9.5703125" style="52" customWidth="1"/>
    <col min="5" max="5" width="10.85546875" style="262" customWidth="1"/>
    <col min="6" max="6" width="13.7109375" style="53" customWidth="1"/>
    <col min="7" max="7" width="11" style="54" hidden="1" customWidth="1"/>
    <col min="8" max="11" width="9.140625" style="50" hidden="1" customWidth="1"/>
    <col min="12" max="12" width="9.140625" style="50" customWidth="1"/>
    <col min="13" max="17" width="9.140625" style="50"/>
    <col min="18" max="18" width="10.85546875" customWidth="1"/>
    <col min="19" max="19" width="8.85546875" customWidth="1"/>
    <col min="20" max="16384" width="9.140625" style="50"/>
  </cols>
  <sheetData>
    <row r="1" spans="1:19" s="130" customFormat="1" x14ac:dyDescent="0.2">
      <c r="A1" s="199" t="s">
        <v>303</v>
      </c>
      <c r="C1" s="205"/>
      <c r="D1" s="205"/>
      <c r="E1" s="275"/>
      <c r="F1" s="206"/>
      <c r="R1"/>
      <c r="S1"/>
    </row>
    <row r="2" spans="1:19" x14ac:dyDescent="0.2">
      <c r="C2" s="207"/>
      <c r="D2" s="208"/>
      <c r="E2" s="276"/>
      <c r="F2" s="209"/>
      <c r="G2" s="200" t="s">
        <v>79</v>
      </c>
      <c r="H2" s="130"/>
      <c r="I2" s="130"/>
      <c r="J2" s="130"/>
    </row>
    <row r="3" spans="1:19" x14ac:dyDescent="0.2">
      <c r="A3" s="55" t="s">
        <v>12</v>
      </c>
      <c r="B3" s="56" t="s">
        <v>148</v>
      </c>
      <c r="C3" s="210"/>
      <c r="D3" s="210"/>
      <c r="E3" s="277"/>
      <c r="F3" s="211"/>
      <c r="G3" s="201" t="s">
        <v>80</v>
      </c>
      <c r="H3" s="132">
        <v>750</v>
      </c>
      <c r="I3" s="132" t="s">
        <v>0</v>
      </c>
      <c r="J3" s="130"/>
    </row>
    <row r="4" spans="1:19" x14ac:dyDescent="0.2">
      <c r="A4" s="57"/>
      <c r="B4" s="57"/>
      <c r="C4" s="58"/>
      <c r="D4" s="58"/>
      <c r="E4" s="264"/>
      <c r="F4" s="59"/>
      <c r="G4" s="131" t="s">
        <v>81</v>
      </c>
      <c r="H4" s="132">
        <v>1312</v>
      </c>
      <c r="I4" s="132" t="s">
        <v>0</v>
      </c>
      <c r="J4" s="130"/>
    </row>
    <row r="5" spans="1:19" x14ac:dyDescent="0.2">
      <c r="A5" s="60" t="s">
        <v>14</v>
      </c>
      <c r="B5" s="60" t="s">
        <v>15</v>
      </c>
      <c r="C5" s="52"/>
      <c r="E5" s="265"/>
      <c r="F5" s="61">
        <f>F28</f>
        <v>0</v>
      </c>
      <c r="G5" s="133" t="s">
        <v>202</v>
      </c>
      <c r="H5" s="134">
        <v>1793.4</v>
      </c>
      <c r="I5" s="132" t="s">
        <v>0</v>
      </c>
      <c r="J5" s="50" t="s">
        <v>140</v>
      </c>
    </row>
    <row r="6" spans="1:19" x14ac:dyDescent="0.2">
      <c r="A6" s="60" t="s">
        <v>16</v>
      </c>
      <c r="B6" s="60" t="s">
        <v>17</v>
      </c>
      <c r="C6" s="52"/>
      <c r="E6" s="265"/>
      <c r="F6" s="61">
        <f>F58</f>
        <v>0</v>
      </c>
      <c r="G6" s="133" t="s">
        <v>141</v>
      </c>
      <c r="H6" s="134">
        <v>483.4</v>
      </c>
      <c r="I6" s="134" t="s">
        <v>142</v>
      </c>
    </row>
    <row r="7" spans="1:19" x14ac:dyDescent="0.2">
      <c r="A7" s="60" t="s">
        <v>209</v>
      </c>
      <c r="B7" s="60" t="s">
        <v>19</v>
      </c>
      <c r="C7" s="52"/>
      <c r="E7" s="265"/>
      <c r="F7" s="61">
        <f>F76</f>
        <v>0</v>
      </c>
      <c r="G7" s="133" t="s">
        <v>201</v>
      </c>
      <c r="H7" s="134">
        <v>156.6</v>
      </c>
      <c r="I7" s="134" t="s">
        <v>0</v>
      </c>
    </row>
    <row r="8" spans="1:19" x14ac:dyDescent="0.2">
      <c r="A8" s="60" t="s">
        <v>20</v>
      </c>
      <c r="B8" s="60" t="s">
        <v>208</v>
      </c>
      <c r="C8" s="52"/>
      <c r="E8" s="265"/>
      <c r="F8" s="61">
        <f>F84</f>
        <v>0</v>
      </c>
      <c r="G8" s="133" t="s">
        <v>149</v>
      </c>
      <c r="H8" s="134">
        <v>197.6</v>
      </c>
      <c r="I8" s="134" t="s">
        <v>0</v>
      </c>
    </row>
    <row r="9" spans="1:19" x14ac:dyDescent="0.2">
      <c r="A9" s="60" t="s">
        <v>21</v>
      </c>
      <c r="B9" s="202" t="s">
        <v>23</v>
      </c>
      <c r="C9" s="52"/>
      <c r="E9" s="265"/>
      <c r="F9" s="61">
        <f>F90</f>
        <v>0</v>
      </c>
      <c r="G9" s="133" t="s">
        <v>158</v>
      </c>
      <c r="H9" s="134">
        <v>256</v>
      </c>
      <c r="I9" s="134" t="s">
        <v>0</v>
      </c>
    </row>
    <row r="10" spans="1:19" x14ac:dyDescent="0.2">
      <c r="A10" s="60" t="s">
        <v>22</v>
      </c>
      <c r="B10" s="202" t="s">
        <v>70</v>
      </c>
      <c r="C10" s="52"/>
      <c r="E10" s="265"/>
      <c r="F10" s="61">
        <f>F106</f>
        <v>0</v>
      </c>
      <c r="G10" s="133"/>
      <c r="H10" s="134"/>
      <c r="I10" s="134"/>
    </row>
    <row r="11" spans="1:19" x14ac:dyDescent="0.2">
      <c r="A11" s="62" t="s">
        <v>24</v>
      </c>
      <c r="B11" s="63" t="s">
        <v>25</v>
      </c>
      <c r="C11" s="64"/>
      <c r="D11" s="64"/>
      <c r="E11" s="266"/>
      <c r="F11" s="65">
        <f>F112</f>
        <v>0</v>
      </c>
      <c r="G11" s="133" t="s">
        <v>159</v>
      </c>
      <c r="H11" s="134">
        <v>162.5</v>
      </c>
      <c r="I11" s="134" t="s">
        <v>0</v>
      </c>
    </row>
    <row r="12" spans="1:19" x14ac:dyDescent="0.2">
      <c r="A12" s="57"/>
      <c r="B12" s="60" t="s">
        <v>26</v>
      </c>
      <c r="C12" s="58"/>
      <c r="D12" s="58"/>
      <c r="E12" s="264"/>
      <c r="F12" s="61">
        <f>SUM(F5:F11)</f>
        <v>0</v>
      </c>
      <c r="G12" s="133" t="s">
        <v>200</v>
      </c>
      <c r="H12" s="134">
        <f>3.57+5.38+6.63+5.5+5.25+3.05</f>
        <v>29.38</v>
      </c>
      <c r="I12" s="134" t="s">
        <v>142</v>
      </c>
    </row>
    <row r="13" spans="1:19" ht="13.5" thickBot="1" x14ac:dyDescent="0.25">
      <c r="A13" s="57"/>
      <c r="C13" s="58"/>
      <c r="D13" s="58"/>
      <c r="E13" s="264"/>
      <c r="F13" s="61"/>
    </row>
    <row r="14" spans="1:19" ht="13.5" thickBot="1" x14ac:dyDescent="0.25">
      <c r="A14" s="66" t="s">
        <v>27</v>
      </c>
      <c r="B14" s="67" t="s">
        <v>28</v>
      </c>
      <c r="C14" s="68" t="s">
        <v>6</v>
      </c>
      <c r="D14" s="68" t="s">
        <v>9</v>
      </c>
      <c r="E14" s="267" t="s">
        <v>7</v>
      </c>
      <c r="F14" s="69" t="s">
        <v>8</v>
      </c>
    </row>
    <row r="15" spans="1:19" x14ac:dyDescent="0.2">
      <c r="A15" s="57"/>
      <c r="B15" s="57"/>
      <c r="C15" s="58"/>
      <c r="D15" s="58"/>
      <c r="E15" s="264"/>
      <c r="F15" s="59"/>
    </row>
    <row r="16" spans="1:19" ht="89.25" x14ac:dyDescent="0.2">
      <c r="A16" s="57"/>
      <c r="B16" s="70" t="s">
        <v>295</v>
      </c>
      <c r="C16" s="58"/>
      <c r="D16" s="58"/>
      <c r="E16" s="264"/>
      <c r="F16" s="59"/>
    </row>
    <row r="17" spans="1:19" x14ac:dyDescent="0.2">
      <c r="A17" s="57"/>
      <c r="B17" s="57"/>
      <c r="C17" s="212"/>
      <c r="D17" s="212"/>
      <c r="E17" s="278"/>
      <c r="F17" s="213"/>
    </row>
    <row r="18" spans="1:19" x14ac:dyDescent="0.2">
      <c r="A18" s="57" t="s">
        <v>14</v>
      </c>
      <c r="B18" s="57" t="s">
        <v>29</v>
      </c>
      <c r="C18" s="208"/>
      <c r="D18" s="208"/>
      <c r="E18" s="279"/>
      <c r="F18" s="215"/>
    </row>
    <row r="19" spans="1:19" x14ac:dyDescent="0.2">
      <c r="A19" s="57"/>
      <c r="B19" s="57"/>
      <c r="C19" s="52"/>
      <c r="E19" s="265"/>
      <c r="F19" s="61"/>
    </row>
    <row r="20" spans="1:19" s="72" customFormat="1" ht="25.5" x14ac:dyDescent="0.2">
      <c r="A20" s="57"/>
      <c r="B20" s="71" t="s">
        <v>76</v>
      </c>
      <c r="C20" s="52"/>
      <c r="D20" s="52"/>
      <c r="E20" s="265"/>
      <c r="F20" s="61"/>
      <c r="R20"/>
      <c r="S20"/>
    </row>
    <row r="21" spans="1:19" s="72" customFormat="1" x14ac:dyDescent="0.2">
      <c r="A21" s="57"/>
      <c r="B21" s="57"/>
      <c r="C21" s="52"/>
      <c r="D21" s="52"/>
      <c r="E21" s="265"/>
      <c r="F21" s="61"/>
      <c r="R21"/>
      <c r="S21"/>
    </row>
    <row r="22" spans="1:19" ht="25.5" x14ac:dyDescent="0.2">
      <c r="A22" s="60" t="s">
        <v>30</v>
      </c>
      <c r="B22" s="202" t="s">
        <v>308</v>
      </c>
      <c r="C22" s="52" t="s">
        <v>1</v>
      </c>
      <c r="D22" s="52">
        <v>241</v>
      </c>
      <c r="E22" s="265"/>
      <c r="F22" s="61">
        <f>D22*E22</f>
        <v>0</v>
      </c>
      <c r="G22" s="72"/>
    </row>
    <row r="23" spans="1:19" s="76" customFormat="1" x14ac:dyDescent="0.2">
      <c r="A23" s="60"/>
      <c r="B23" s="73"/>
      <c r="C23" s="227"/>
      <c r="D23" s="227"/>
      <c r="E23" s="269"/>
      <c r="F23" s="74"/>
      <c r="G23" s="75"/>
      <c r="R23"/>
      <c r="S23"/>
    </row>
    <row r="24" spans="1:19" s="76" customFormat="1" x14ac:dyDescent="0.2">
      <c r="A24" s="60" t="s">
        <v>31</v>
      </c>
      <c r="B24" s="203" t="s">
        <v>215</v>
      </c>
      <c r="C24" s="227" t="s">
        <v>2</v>
      </c>
      <c r="D24" s="227">
        <v>24</v>
      </c>
      <c r="E24" s="269"/>
      <c r="F24" s="74">
        <f>D24*E24</f>
        <v>0</v>
      </c>
      <c r="G24" s="72"/>
      <c r="H24" s="74"/>
      <c r="R24"/>
      <c r="S24"/>
    </row>
    <row r="25" spans="1:19" s="72" customFormat="1" x14ac:dyDescent="0.2">
      <c r="A25" s="214"/>
      <c r="B25" s="204"/>
      <c r="C25" s="225"/>
      <c r="D25" s="225"/>
      <c r="E25" s="268"/>
      <c r="F25" s="226"/>
      <c r="R25"/>
      <c r="S25"/>
    </row>
    <row r="26" spans="1:19" ht="25.5" x14ac:dyDescent="0.2">
      <c r="A26" s="60" t="s">
        <v>33</v>
      </c>
      <c r="B26" s="202" t="s">
        <v>322</v>
      </c>
      <c r="C26" s="52" t="s">
        <v>2</v>
      </c>
      <c r="D26" s="52">
        <v>1</v>
      </c>
      <c r="E26" s="265"/>
      <c r="F26" s="61">
        <f>D26*E26</f>
        <v>0</v>
      </c>
      <c r="G26" s="54">
        <v>387.2</v>
      </c>
      <c r="H26" s="61" t="s">
        <v>142</v>
      </c>
      <c r="R26" s="197"/>
      <c r="S26" s="197"/>
    </row>
    <row r="27" spans="1:19" x14ac:dyDescent="0.2">
      <c r="A27" s="218"/>
      <c r="B27" s="77"/>
      <c r="C27" s="228"/>
      <c r="D27" s="228"/>
      <c r="E27" s="270"/>
      <c r="F27" s="229"/>
      <c r="H27" s="61"/>
    </row>
    <row r="28" spans="1:19" x14ac:dyDescent="0.2">
      <c r="A28" s="57" t="s">
        <v>14</v>
      </c>
      <c r="B28" s="57" t="s">
        <v>43</v>
      </c>
      <c r="C28" s="58"/>
      <c r="D28" s="58"/>
      <c r="E28" s="264"/>
      <c r="F28" s="59">
        <f>SUM(F22:F26)</f>
        <v>0</v>
      </c>
      <c r="H28" s="61"/>
    </row>
    <row r="29" spans="1:19" x14ac:dyDescent="0.2">
      <c r="A29" s="57"/>
      <c r="B29" s="57"/>
      <c r="C29" s="52"/>
      <c r="E29" s="265"/>
      <c r="F29" s="61"/>
      <c r="H29" s="61"/>
    </row>
    <row r="30" spans="1:19" x14ac:dyDescent="0.2">
      <c r="A30" s="57" t="s">
        <v>16</v>
      </c>
      <c r="B30" s="57" t="s">
        <v>17</v>
      </c>
      <c r="C30" s="52"/>
      <c r="E30" s="265"/>
      <c r="F30" s="61"/>
      <c r="H30" s="61"/>
    </row>
    <row r="31" spans="1:19" x14ac:dyDescent="0.2">
      <c r="A31" s="60"/>
      <c r="B31" s="60"/>
      <c r="C31" s="52"/>
      <c r="E31" s="265"/>
      <c r="F31" s="61"/>
      <c r="H31" s="61"/>
    </row>
    <row r="32" spans="1:19" x14ac:dyDescent="0.2">
      <c r="A32" s="57" t="s">
        <v>233</v>
      </c>
      <c r="B32" s="57" t="s">
        <v>44</v>
      </c>
      <c r="C32" s="208"/>
      <c r="D32" s="208"/>
      <c r="E32" s="279"/>
      <c r="F32" s="215"/>
      <c r="H32" s="61"/>
    </row>
    <row r="33" spans="1:19" x14ac:dyDescent="0.2">
      <c r="A33" s="57"/>
      <c r="B33" s="57"/>
      <c r="C33" s="208"/>
      <c r="D33" s="208"/>
      <c r="E33" s="279"/>
      <c r="F33" s="215"/>
      <c r="H33" s="61"/>
    </row>
    <row r="34" spans="1:19" s="76" customFormat="1" ht="25.5" x14ac:dyDescent="0.2">
      <c r="A34" s="57"/>
      <c r="B34" s="71" t="s">
        <v>310</v>
      </c>
      <c r="C34" s="52"/>
      <c r="D34" s="52"/>
      <c r="E34" s="265"/>
      <c r="F34" s="61"/>
      <c r="G34" s="72"/>
      <c r="H34" s="74"/>
      <c r="R34"/>
      <c r="S34"/>
    </row>
    <row r="35" spans="1:19" x14ac:dyDescent="0.2">
      <c r="A35" s="57"/>
      <c r="B35" s="202"/>
      <c r="C35" s="52"/>
      <c r="E35" s="265"/>
      <c r="F35" s="61"/>
      <c r="H35" s="61"/>
    </row>
    <row r="36" spans="1:19" ht="53.25" customHeight="1" x14ac:dyDescent="0.2">
      <c r="A36" s="73" t="s">
        <v>45</v>
      </c>
      <c r="B36" s="203" t="s">
        <v>78</v>
      </c>
      <c r="C36" s="227" t="s">
        <v>3</v>
      </c>
      <c r="D36" s="227">
        <v>322.52000000000004</v>
      </c>
      <c r="E36" s="269"/>
      <c r="F36" s="74">
        <f>D36*E36</f>
        <v>0</v>
      </c>
      <c r="G36" s="72">
        <f>H3*0.2</f>
        <v>150</v>
      </c>
      <c r="H36" s="61"/>
    </row>
    <row r="37" spans="1:19" x14ac:dyDescent="0.2">
      <c r="A37" s="57"/>
      <c r="B37" s="202"/>
      <c r="C37" s="52"/>
      <c r="E37" s="265"/>
      <c r="F37" s="61"/>
      <c r="H37" s="61"/>
    </row>
    <row r="38" spans="1:19" ht="27.75" customHeight="1" x14ac:dyDescent="0.2">
      <c r="A38" s="73" t="s">
        <v>46</v>
      </c>
      <c r="B38" s="202" t="s">
        <v>296</v>
      </c>
      <c r="C38" s="52" t="s">
        <v>3</v>
      </c>
      <c r="D38" s="52">
        <v>483.78000000000003</v>
      </c>
      <c r="E38" s="265"/>
      <c r="F38" s="61">
        <f>D38*E38</f>
        <v>0</v>
      </c>
      <c r="G38" s="72">
        <f>IZKOPI!G67*1.1</f>
        <v>1915.3029499999996</v>
      </c>
      <c r="H38" s="61"/>
    </row>
    <row r="39" spans="1:19" x14ac:dyDescent="0.2">
      <c r="A39" s="57"/>
      <c r="B39" s="202"/>
      <c r="C39" s="52"/>
      <c r="E39" s="265"/>
      <c r="F39" s="61"/>
      <c r="H39" s="61"/>
    </row>
    <row r="40" spans="1:19" ht="89.25" x14ac:dyDescent="0.2">
      <c r="A40" s="73" t="s">
        <v>47</v>
      </c>
      <c r="B40" s="202" t="s">
        <v>297</v>
      </c>
      <c r="C40" s="52" t="s">
        <v>3</v>
      </c>
      <c r="D40" s="52">
        <v>580.53600000000006</v>
      </c>
      <c r="E40" s="265"/>
      <c r="F40" s="61">
        <f>D40*E40</f>
        <v>0</v>
      </c>
      <c r="H40" s="61"/>
    </row>
    <row r="41" spans="1:19" x14ac:dyDescent="0.2">
      <c r="A41" s="60"/>
      <c r="B41" s="202"/>
      <c r="C41" s="52"/>
      <c r="E41" s="265"/>
      <c r="F41" s="61"/>
      <c r="H41" s="61"/>
    </row>
    <row r="42" spans="1:19" x14ac:dyDescent="0.2">
      <c r="A42" s="57" t="s">
        <v>48</v>
      </c>
      <c r="B42" s="57" t="s">
        <v>49</v>
      </c>
      <c r="C42" s="52"/>
      <c r="E42" s="265"/>
      <c r="F42" s="61"/>
      <c r="G42" s="72"/>
      <c r="H42" s="61"/>
    </row>
    <row r="43" spans="1:19" x14ac:dyDescent="0.2">
      <c r="A43" s="57"/>
      <c r="B43" s="57"/>
      <c r="C43" s="52"/>
      <c r="E43" s="265"/>
      <c r="F43" s="61"/>
      <c r="H43" s="61"/>
    </row>
    <row r="44" spans="1:19" s="76" customFormat="1" ht="53.25" customHeight="1" x14ac:dyDescent="0.2">
      <c r="A44" s="60" t="s">
        <v>206</v>
      </c>
      <c r="B44" s="202" t="s">
        <v>146</v>
      </c>
      <c r="C44" s="52" t="s">
        <v>0</v>
      </c>
      <c r="D44" s="52">
        <v>1612.6000000000001</v>
      </c>
      <c r="E44" s="265"/>
      <c r="F44" s="61">
        <f>D44*E44</f>
        <v>0</v>
      </c>
      <c r="G44" s="72"/>
      <c r="H44" s="74"/>
      <c r="R44"/>
      <c r="S44"/>
    </row>
    <row r="45" spans="1:19" x14ac:dyDescent="0.2">
      <c r="A45" s="60"/>
      <c r="B45" s="202"/>
      <c r="C45" s="52"/>
      <c r="E45" s="265"/>
      <c r="F45" s="61"/>
      <c r="H45" s="61"/>
    </row>
    <row r="46" spans="1:19" s="78" customFormat="1" ht="76.5" x14ac:dyDescent="0.2">
      <c r="A46" s="60" t="s">
        <v>50</v>
      </c>
      <c r="B46" s="202" t="s">
        <v>248</v>
      </c>
      <c r="C46" s="52" t="s">
        <v>0</v>
      </c>
      <c r="D46" s="52">
        <v>1612.6000000000001</v>
      </c>
      <c r="E46" s="265"/>
      <c r="F46" s="61">
        <f>D46*E46</f>
        <v>0</v>
      </c>
      <c r="G46" s="72"/>
      <c r="R46"/>
      <c r="S46"/>
    </row>
    <row r="47" spans="1:19" x14ac:dyDescent="0.2">
      <c r="A47" s="60"/>
      <c r="B47" s="79"/>
      <c r="C47" s="239"/>
      <c r="D47" s="239"/>
      <c r="E47" s="271"/>
      <c r="F47" s="240"/>
      <c r="H47" s="61"/>
    </row>
    <row r="48" spans="1:19" x14ac:dyDescent="0.2">
      <c r="A48" s="57" t="s">
        <v>51</v>
      </c>
      <c r="B48" s="57" t="s">
        <v>52</v>
      </c>
      <c r="C48" s="52"/>
      <c r="E48" s="265"/>
      <c r="F48" s="61"/>
      <c r="G48" s="72"/>
      <c r="H48" s="61"/>
    </row>
    <row r="49" spans="1:19" x14ac:dyDescent="0.2">
      <c r="A49" s="57"/>
      <c r="B49" s="57"/>
      <c r="C49" s="208"/>
      <c r="D49" s="208"/>
      <c r="E49" s="279"/>
      <c r="F49" s="215"/>
      <c r="H49" s="61"/>
    </row>
    <row r="50" spans="1:19" ht="52.5" customHeight="1" x14ac:dyDescent="0.2">
      <c r="A50" s="60" t="s">
        <v>53</v>
      </c>
      <c r="B50" s="202" t="s">
        <v>145</v>
      </c>
      <c r="C50" s="52" t="s">
        <v>3</v>
      </c>
      <c r="D50" s="52">
        <f>646.6</f>
        <v>646.6</v>
      </c>
      <c r="E50" s="265"/>
      <c r="F50" s="61">
        <f>D50*E50</f>
        <v>0</v>
      </c>
      <c r="H50" s="61"/>
    </row>
    <row r="51" spans="1:19" x14ac:dyDescent="0.2">
      <c r="A51" s="60"/>
      <c r="B51" s="202"/>
      <c r="C51" s="52"/>
      <c r="E51" s="265"/>
      <c r="F51" s="61"/>
      <c r="H51" s="61"/>
    </row>
    <row r="52" spans="1:19" x14ac:dyDescent="0.2">
      <c r="A52" s="57" t="s">
        <v>152</v>
      </c>
      <c r="B52" s="57" t="s">
        <v>153</v>
      </c>
      <c r="C52" s="52"/>
      <c r="E52" s="265"/>
      <c r="F52" s="61"/>
      <c r="G52" s="83"/>
      <c r="H52" s="61"/>
    </row>
    <row r="53" spans="1:19" x14ac:dyDescent="0.2">
      <c r="A53" s="57"/>
      <c r="B53" s="57"/>
      <c r="C53" s="52"/>
      <c r="E53" s="265"/>
      <c r="F53" s="61"/>
      <c r="G53" s="83"/>
      <c r="H53" s="61"/>
    </row>
    <row r="54" spans="1:19" ht="38.25" x14ac:dyDescent="0.2">
      <c r="A54" s="60" t="s">
        <v>154</v>
      </c>
      <c r="B54" s="202" t="s">
        <v>155</v>
      </c>
      <c r="C54" s="52" t="s">
        <v>3</v>
      </c>
      <c r="D54" s="52">
        <v>23.5</v>
      </c>
      <c r="E54" s="265"/>
      <c r="F54" s="61">
        <f>D54*E54</f>
        <v>0</v>
      </c>
      <c r="G54" s="83">
        <f>(H9+H11)*0.15</f>
        <v>62.774999999999999</v>
      </c>
      <c r="H54" s="61"/>
    </row>
    <row r="55" spans="1:19" x14ac:dyDescent="0.2">
      <c r="A55" s="60"/>
      <c r="B55" s="202"/>
      <c r="C55" s="52"/>
      <c r="E55" s="265"/>
      <c r="F55" s="61"/>
      <c r="G55" s="83"/>
      <c r="H55" s="61"/>
    </row>
    <row r="56" spans="1:19" ht="25.5" x14ac:dyDescent="0.2">
      <c r="A56" s="60" t="s">
        <v>156</v>
      </c>
      <c r="B56" s="202" t="s">
        <v>157</v>
      </c>
      <c r="C56" s="52" t="s">
        <v>3</v>
      </c>
      <c r="D56" s="52">
        <v>32</v>
      </c>
      <c r="E56" s="265"/>
      <c r="F56" s="61">
        <f>D56*E56</f>
        <v>0</v>
      </c>
      <c r="G56" s="83">
        <f>(H9+H11)*0.2</f>
        <v>83.7</v>
      </c>
      <c r="H56" s="61"/>
    </row>
    <row r="57" spans="1:19" x14ac:dyDescent="0.2">
      <c r="A57" s="62"/>
      <c r="B57" s="63"/>
      <c r="C57" s="230"/>
      <c r="D57" s="230"/>
      <c r="E57" s="272"/>
      <c r="F57" s="65"/>
      <c r="H57" s="61"/>
    </row>
    <row r="58" spans="1:19" s="76" customFormat="1" x14ac:dyDescent="0.2">
      <c r="A58" s="57" t="s">
        <v>16</v>
      </c>
      <c r="B58" s="57" t="s">
        <v>218</v>
      </c>
      <c r="C58" s="58"/>
      <c r="D58" s="58"/>
      <c r="E58" s="264"/>
      <c r="F58" s="59">
        <f>SUM(F36:F56)</f>
        <v>0</v>
      </c>
      <c r="G58" s="75"/>
      <c r="H58" s="74"/>
      <c r="R58"/>
      <c r="S58"/>
    </row>
    <row r="59" spans="1:19" s="76" customFormat="1" x14ac:dyDescent="0.2">
      <c r="A59" s="57"/>
      <c r="B59" s="57"/>
      <c r="C59" s="208"/>
      <c r="D59" s="208"/>
      <c r="E59" s="279"/>
      <c r="F59" s="215"/>
      <c r="G59" s="75"/>
      <c r="H59" s="74"/>
      <c r="R59"/>
      <c r="S59"/>
    </row>
    <row r="60" spans="1:19" s="80" customFormat="1" x14ac:dyDescent="0.2">
      <c r="A60" s="57" t="s">
        <v>18</v>
      </c>
      <c r="B60" s="57" t="s">
        <v>54</v>
      </c>
      <c r="C60" s="208"/>
      <c r="D60" s="208"/>
      <c r="E60" s="279"/>
      <c r="F60" s="215"/>
      <c r="R60"/>
      <c r="S60"/>
    </row>
    <row r="61" spans="1:19" s="80" customFormat="1" x14ac:dyDescent="0.2">
      <c r="A61" s="60"/>
      <c r="B61" s="202"/>
      <c r="C61" s="208"/>
      <c r="D61" s="208"/>
      <c r="E61" s="279"/>
      <c r="F61" s="215"/>
      <c r="R61"/>
      <c r="S61"/>
    </row>
    <row r="62" spans="1:19" x14ac:dyDescent="0.2">
      <c r="A62" s="57" t="s">
        <v>55</v>
      </c>
      <c r="B62" s="71" t="s">
        <v>56</v>
      </c>
      <c r="C62" s="52"/>
      <c r="E62" s="265"/>
      <c r="F62" s="61"/>
      <c r="H62" s="61"/>
    </row>
    <row r="63" spans="1:19" x14ac:dyDescent="0.2">
      <c r="A63" s="57"/>
      <c r="B63" s="71"/>
      <c r="C63" s="52"/>
      <c r="E63" s="265"/>
      <c r="F63" s="61"/>
      <c r="H63" s="61"/>
    </row>
    <row r="64" spans="1:19" s="76" customFormat="1" ht="66" customHeight="1" x14ac:dyDescent="0.2">
      <c r="A64" s="60" t="s">
        <v>57</v>
      </c>
      <c r="B64" s="202" t="s">
        <v>144</v>
      </c>
      <c r="C64" s="52" t="s">
        <v>3</v>
      </c>
      <c r="D64" s="52">
        <v>485</v>
      </c>
      <c r="E64" s="265"/>
      <c r="F64" s="61">
        <f>D64*E64</f>
        <v>0</v>
      </c>
      <c r="G64" s="75"/>
      <c r="H64" s="74"/>
      <c r="R64"/>
      <c r="S64"/>
    </row>
    <row r="65" spans="1:19" s="76" customFormat="1" x14ac:dyDescent="0.2">
      <c r="A65" s="60"/>
      <c r="B65" s="202"/>
      <c r="C65" s="52"/>
      <c r="D65" s="52"/>
      <c r="E65" s="265"/>
      <c r="F65" s="61"/>
      <c r="G65" s="75"/>
      <c r="H65" s="74"/>
      <c r="R65"/>
      <c r="S65"/>
    </row>
    <row r="66" spans="1:19" x14ac:dyDescent="0.2">
      <c r="A66" s="81" t="s">
        <v>58</v>
      </c>
      <c r="B66" s="82" t="s">
        <v>59</v>
      </c>
      <c r="C66" s="227"/>
      <c r="D66" s="227"/>
      <c r="E66" s="269"/>
      <c r="F66" s="74"/>
      <c r="H66" s="61"/>
    </row>
    <row r="67" spans="1:19" x14ac:dyDescent="0.2">
      <c r="A67" s="81"/>
      <c r="B67" s="82"/>
      <c r="C67" s="227"/>
      <c r="D67" s="227"/>
      <c r="E67" s="269"/>
      <c r="F67" s="74"/>
      <c r="H67" s="61"/>
    </row>
    <row r="68" spans="1:19" ht="25.5" x14ac:dyDescent="0.2">
      <c r="A68" s="73" t="s">
        <v>60</v>
      </c>
      <c r="B68" s="79" t="s">
        <v>204</v>
      </c>
      <c r="C68" s="227" t="s">
        <v>0</v>
      </c>
      <c r="D68" s="227">
        <v>1466</v>
      </c>
      <c r="E68" s="269"/>
      <c r="F68" s="74">
        <f>E68*D68</f>
        <v>0</v>
      </c>
      <c r="H68" s="61"/>
    </row>
    <row r="69" spans="1:19" s="32" customFormat="1" x14ac:dyDescent="0.2">
      <c r="A69" s="73"/>
      <c r="B69" s="79"/>
      <c r="C69" s="227"/>
      <c r="D69" s="227"/>
      <c r="E69" s="269"/>
      <c r="F69" s="74"/>
      <c r="H69" s="41"/>
      <c r="R69"/>
      <c r="S69"/>
    </row>
    <row r="70" spans="1:19" s="83" customFormat="1" x14ac:dyDescent="0.2">
      <c r="A70" s="81" t="s">
        <v>61</v>
      </c>
      <c r="B70" s="82" t="s">
        <v>62</v>
      </c>
      <c r="C70" s="227"/>
      <c r="D70" s="227"/>
      <c r="E70" s="269"/>
      <c r="F70" s="74"/>
      <c r="R70"/>
      <c r="S70"/>
    </row>
    <row r="71" spans="1:19" s="83" customFormat="1" x14ac:dyDescent="0.2">
      <c r="A71" s="81"/>
      <c r="B71" s="82"/>
      <c r="C71" s="227"/>
      <c r="D71" s="227"/>
      <c r="E71" s="269"/>
      <c r="F71" s="74"/>
      <c r="R71"/>
      <c r="S71"/>
    </row>
    <row r="72" spans="1:19" ht="25.5" x14ac:dyDescent="0.2">
      <c r="A72" s="73" t="s">
        <v>63</v>
      </c>
      <c r="B72" s="79" t="s">
        <v>213</v>
      </c>
      <c r="C72" s="227" t="s">
        <v>0</v>
      </c>
      <c r="D72" s="227">
        <v>1466</v>
      </c>
      <c r="E72" s="269"/>
      <c r="F72" s="74">
        <f>D72*E72</f>
        <v>0</v>
      </c>
      <c r="G72" s="54" t="e">
        <f>H5+H8+#REF!</f>
        <v>#REF!</v>
      </c>
      <c r="H72" s="61"/>
    </row>
    <row r="73" spans="1:19" x14ac:dyDescent="0.2">
      <c r="A73" s="73"/>
      <c r="B73" s="79"/>
      <c r="C73" s="227"/>
      <c r="D73" s="227"/>
      <c r="E73" s="269"/>
      <c r="F73" s="74"/>
      <c r="H73" s="61"/>
    </row>
    <row r="74" spans="1:19" ht="63.75" x14ac:dyDescent="0.2">
      <c r="A74" s="73" t="s">
        <v>64</v>
      </c>
      <c r="B74" s="79" t="s">
        <v>318</v>
      </c>
      <c r="C74" s="227" t="s">
        <v>0</v>
      </c>
      <c r="D74" s="227">
        <v>2.4</v>
      </c>
      <c r="E74" s="269"/>
      <c r="F74" s="74">
        <f>D74*E74</f>
        <v>0</v>
      </c>
      <c r="H74" s="61"/>
    </row>
    <row r="75" spans="1:19" x14ac:dyDescent="0.2">
      <c r="A75" s="84"/>
      <c r="B75" s="85"/>
      <c r="C75" s="231"/>
      <c r="D75" s="231"/>
      <c r="E75" s="273"/>
      <c r="F75" s="232"/>
      <c r="H75" s="61"/>
    </row>
    <row r="76" spans="1:19" x14ac:dyDescent="0.2">
      <c r="A76" s="57" t="s">
        <v>18</v>
      </c>
      <c r="B76" s="57" t="s">
        <v>143</v>
      </c>
      <c r="C76" s="58"/>
      <c r="D76" s="58"/>
      <c r="E76" s="264"/>
      <c r="F76" s="59">
        <f>SUM(F64:F74)</f>
        <v>0</v>
      </c>
      <c r="H76" s="61"/>
    </row>
    <row r="77" spans="1:19" s="83" customFormat="1" x14ac:dyDescent="0.2">
      <c r="A77" s="81"/>
      <c r="B77" s="81"/>
      <c r="C77" s="216"/>
      <c r="D77" s="216"/>
      <c r="E77" s="280"/>
      <c r="F77" s="217"/>
      <c r="R77"/>
      <c r="S77"/>
    </row>
    <row r="78" spans="1:19" s="83" customFormat="1" x14ac:dyDescent="0.2">
      <c r="A78" s="81" t="s">
        <v>20</v>
      </c>
      <c r="B78" s="82" t="s">
        <v>311</v>
      </c>
      <c r="C78" s="216"/>
      <c r="D78" s="216"/>
      <c r="E78" s="280"/>
      <c r="F78" s="217"/>
      <c r="R78"/>
      <c r="S78"/>
    </row>
    <row r="79" spans="1:19" s="80" customFormat="1" x14ac:dyDescent="0.2">
      <c r="A79" s="81"/>
      <c r="B79" s="82"/>
      <c r="C79" s="216"/>
      <c r="D79" s="216"/>
      <c r="E79" s="280"/>
      <c r="F79" s="217"/>
      <c r="R79"/>
      <c r="S79"/>
    </row>
    <row r="80" spans="1:19" s="83" customFormat="1" ht="54" customHeight="1" x14ac:dyDescent="0.2">
      <c r="A80" s="73" t="s">
        <v>205</v>
      </c>
      <c r="B80" s="79" t="s">
        <v>320</v>
      </c>
      <c r="C80" s="227" t="s">
        <v>1</v>
      </c>
      <c r="D80" s="227">
        <v>463.1</v>
      </c>
      <c r="E80" s="269"/>
      <c r="F80" s="61">
        <f>D80*E80</f>
        <v>0</v>
      </c>
      <c r="G80" s="54">
        <f>H7*0.1</f>
        <v>15.66</v>
      </c>
      <c r="R80"/>
      <c r="S80"/>
    </row>
    <row r="81" spans="1:19" s="83" customFormat="1" x14ac:dyDescent="0.2">
      <c r="A81" s="73"/>
      <c r="B81" s="79"/>
      <c r="C81" s="227"/>
      <c r="D81" s="227"/>
      <c r="E81" s="269"/>
      <c r="F81" s="74"/>
      <c r="R81"/>
      <c r="S81"/>
    </row>
    <row r="82" spans="1:19" s="83" customFormat="1" ht="54" customHeight="1" x14ac:dyDescent="0.2">
      <c r="A82" s="73" t="s">
        <v>229</v>
      </c>
      <c r="B82" s="79" t="s">
        <v>321</v>
      </c>
      <c r="C82" s="227" t="s">
        <v>1</v>
      </c>
      <c r="D82" s="227">
        <v>466.3</v>
      </c>
      <c r="E82" s="269"/>
      <c r="F82" s="61">
        <f>D82*E82</f>
        <v>0</v>
      </c>
      <c r="G82" s="54"/>
      <c r="R82"/>
      <c r="S82"/>
    </row>
    <row r="83" spans="1:19" s="83" customFormat="1" x14ac:dyDescent="0.2">
      <c r="A83" s="84"/>
      <c r="B83" s="86"/>
      <c r="C83" s="231"/>
      <c r="D83" s="231"/>
      <c r="E83" s="273"/>
      <c r="F83" s="232"/>
      <c r="R83"/>
      <c r="S83"/>
    </row>
    <row r="84" spans="1:19" s="83" customFormat="1" x14ac:dyDescent="0.2">
      <c r="A84" s="81" t="s">
        <v>20</v>
      </c>
      <c r="B84" s="82" t="s">
        <v>312</v>
      </c>
      <c r="C84" s="227"/>
      <c r="D84" s="227"/>
      <c r="E84" s="269"/>
      <c r="F84" s="233">
        <f>SUM(F79:F82)</f>
        <v>0</v>
      </c>
      <c r="R84"/>
      <c r="S84"/>
    </row>
    <row r="85" spans="1:19" x14ac:dyDescent="0.2">
      <c r="A85" s="57"/>
      <c r="B85" s="57"/>
      <c r="C85" s="52"/>
      <c r="E85" s="265"/>
      <c r="F85" s="61"/>
      <c r="H85" s="61"/>
    </row>
    <row r="86" spans="1:19" x14ac:dyDescent="0.2">
      <c r="A86" s="57" t="s">
        <v>21</v>
      </c>
      <c r="B86" s="71" t="s">
        <v>23</v>
      </c>
      <c r="C86" s="208"/>
      <c r="D86" s="208"/>
      <c r="E86" s="279"/>
      <c r="F86" s="215"/>
    </row>
    <row r="87" spans="1:19" s="32" customFormat="1" x14ac:dyDescent="0.2">
      <c r="A87" s="60"/>
      <c r="B87" s="202"/>
      <c r="C87" s="208"/>
      <c r="D87" s="208"/>
      <c r="E87" s="279"/>
      <c r="F87" s="215"/>
      <c r="H87" s="61"/>
      <c r="R87"/>
      <c r="S87"/>
    </row>
    <row r="88" spans="1:19" ht="81" customHeight="1" x14ac:dyDescent="0.2">
      <c r="A88" s="73" t="s">
        <v>65</v>
      </c>
      <c r="B88" s="203" t="s">
        <v>319</v>
      </c>
      <c r="C88" s="227" t="s">
        <v>2</v>
      </c>
      <c r="D88" s="227">
        <v>14</v>
      </c>
      <c r="E88" s="269"/>
      <c r="F88" s="74">
        <f>E88*D88</f>
        <v>0</v>
      </c>
      <c r="H88" s="61" t="s">
        <v>203</v>
      </c>
    </row>
    <row r="89" spans="1:19" x14ac:dyDescent="0.2">
      <c r="A89" s="84"/>
      <c r="B89" s="85"/>
      <c r="C89" s="231"/>
      <c r="D89" s="231"/>
      <c r="E89" s="273"/>
      <c r="F89" s="232"/>
    </row>
    <row r="90" spans="1:19" x14ac:dyDescent="0.2">
      <c r="A90" s="57" t="s">
        <v>21</v>
      </c>
      <c r="B90" s="71" t="s">
        <v>69</v>
      </c>
      <c r="C90" s="52"/>
      <c r="E90" s="265"/>
      <c r="F90" s="59">
        <f>SUM(F87:F88)</f>
        <v>0</v>
      </c>
      <c r="H90" s="61"/>
    </row>
    <row r="91" spans="1:19" x14ac:dyDescent="0.2">
      <c r="A91" s="57"/>
      <c r="B91" s="71"/>
      <c r="C91" s="52"/>
      <c r="E91" s="265"/>
      <c r="F91" s="59"/>
      <c r="H91" s="61"/>
    </row>
    <row r="92" spans="1:19" x14ac:dyDescent="0.2">
      <c r="A92" s="57" t="s">
        <v>22</v>
      </c>
      <c r="B92" s="71" t="s">
        <v>70</v>
      </c>
      <c r="C92" s="52"/>
      <c r="E92" s="265"/>
      <c r="F92" s="61"/>
      <c r="H92" s="61"/>
    </row>
    <row r="93" spans="1:19" x14ac:dyDescent="0.2">
      <c r="A93" s="57"/>
      <c r="B93" s="202"/>
      <c r="C93" s="52"/>
      <c r="E93" s="265"/>
      <c r="F93" s="61"/>
      <c r="H93" s="61"/>
    </row>
    <row r="94" spans="1:19" ht="38.25" x14ac:dyDescent="0.2">
      <c r="A94" s="60" t="s">
        <v>66</v>
      </c>
      <c r="B94" s="203" t="s">
        <v>207</v>
      </c>
      <c r="C94" s="227" t="s">
        <v>2</v>
      </c>
      <c r="D94" s="227">
        <v>1</v>
      </c>
      <c r="E94" s="269"/>
      <c r="F94" s="74">
        <f>D94*E94</f>
        <v>0</v>
      </c>
      <c r="H94" s="61"/>
    </row>
    <row r="95" spans="1:19" x14ac:dyDescent="0.2">
      <c r="A95" s="60"/>
      <c r="B95" s="203"/>
      <c r="C95" s="227"/>
      <c r="D95" s="227"/>
      <c r="E95" s="269"/>
      <c r="F95" s="74"/>
      <c r="H95" s="61"/>
    </row>
    <row r="96" spans="1:19" ht="25.5" x14ac:dyDescent="0.2">
      <c r="A96" s="60" t="s">
        <v>67</v>
      </c>
      <c r="B96" s="203" t="s">
        <v>75</v>
      </c>
      <c r="C96" s="227" t="s">
        <v>2</v>
      </c>
      <c r="D96" s="227">
        <v>1</v>
      </c>
      <c r="E96" s="269"/>
      <c r="F96" s="74">
        <f>D96*E96</f>
        <v>0</v>
      </c>
      <c r="H96" s="61"/>
    </row>
    <row r="97" spans="1:19" x14ac:dyDescent="0.2">
      <c r="A97" s="60"/>
      <c r="B97" s="203"/>
      <c r="C97" s="227"/>
      <c r="D97" s="227"/>
      <c r="E97" s="269"/>
      <c r="F97" s="74"/>
      <c r="H97" s="61"/>
    </row>
    <row r="98" spans="1:19" ht="38.25" x14ac:dyDescent="0.2">
      <c r="A98" s="60" t="s">
        <v>68</v>
      </c>
      <c r="B98" s="203" t="s">
        <v>327</v>
      </c>
      <c r="C98" s="227" t="s">
        <v>2</v>
      </c>
      <c r="D98" s="227">
        <v>1</v>
      </c>
      <c r="E98" s="269"/>
      <c r="F98" s="74">
        <f>D98*E98</f>
        <v>0</v>
      </c>
      <c r="H98" s="61"/>
    </row>
    <row r="99" spans="1:19" x14ac:dyDescent="0.2">
      <c r="A99" s="60"/>
      <c r="B99" s="203"/>
      <c r="C99" s="227"/>
      <c r="D99" s="227"/>
      <c r="E99" s="269"/>
      <c r="F99" s="74"/>
      <c r="H99" s="61"/>
    </row>
    <row r="100" spans="1:19" ht="51" x14ac:dyDescent="0.2">
      <c r="A100" s="60" t="s">
        <v>324</v>
      </c>
      <c r="B100" s="203" t="s">
        <v>328</v>
      </c>
      <c r="C100" s="227" t="s">
        <v>2</v>
      </c>
      <c r="D100" s="227">
        <v>1</v>
      </c>
      <c r="E100" s="269"/>
      <c r="F100" s="74">
        <f>D100*E100</f>
        <v>0</v>
      </c>
      <c r="H100" s="61"/>
    </row>
    <row r="101" spans="1:19" x14ac:dyDescent="0.2">
      <c r="A101" s="60"/>
      <c r="B101" s="203"/>
      <c r="C101" s="227"/>
      <c r="D101" s="227"/>
      <c r="E101" s="269"/>
      <c r="F101" s="74"/>
      <c r="H101" s="61"/>
    </row>
    <row r="102" spans="1:19" ht="63.75" x14ac:dyDescent="0.2">
      <c r="A102" s="60" t="s">
        <v>325</v>
      </c>
      <c r="B102" s="203" t="s">
        <v>329</v>
      </c>
      <c r="C102" s="227" t="s">
        <v>1</v>
      </c>
      <c r="D102" s="227">
        <v>5</v>
      </c>
      <c r="E102" s="269"/>
      <c r="F102" s="74">
        <f>D102*E102</f>
        <v>0</v>
      </c>
      <c r="H102" s="61"/>
    </row>
    <row r="103" spans="1:19" x14ac:dyDescent="0.2">
      <c r="A103" s="60"/>
      <c r="B103" s="203"/>
      <c r="C103" s="227"/>
      <c r="D103" s="227"/>
      <c r="E103" s="269"/>
      <c r="F103" s="74"/>
      <c r="H103" s="61"/>
    </row>
    <row r="104" spans="1:19" ht="63.75" x14ac:dyDescent="0.2">
      <c r="A104" s="60" t="s">
        <v>326</v>
      </c>
      <c r="B104" s="203" t="s">
        <v>330</v>
      </c>
      <c r="C104" s="227" t="s">
        <v>1</v>
      </c>
      <c r="D104" s="227">
        <v>5</v>
      </c>
      <c r="E104" s="269"/>
      <c r="F104" s="74">
        <f>D104*E104</f>
        <v>0</v>
      </c>
      <c r="H104" s="61"/>
    </row>
    <row r="105" spans="1:19" x14ac:dyDescent="0.2">
      <c r="A105" s="62"/>
      <c r="B105" s="85"/>
      <c r="C105" s="231"/>
      <c r="D105" s="231"/>
      <c r="E105" s="273"/>
      <c r="F105" s="232"/>
      <c r="H105" s="61"/>
    </row>
    <row r="106" spans="1:19" x14ac:dyDescent="0.2">
      <c r="A106" s="57" t="s">
        <v>22</v>
      </c>
      <c r="B106" s="71" t="s">
        <v>323</v>
      </c>
      <c r="C106" s="52"/>
      <c r="E106" s="265"/>
      <c r="F106" s="59">
        <f>SUM(F93:F104)</f>
        <v>0</v>
      </c>
      <c r="H106" s="61"/>
    </row>
    <row r="107" spans="1:19" s="83" customFormat="1" x14ac:dyDescent="0.2">
      <c r="A107" s="81"/>
      <c r="B107" s="81"/>
      <c r="C107" s="227"/>
      <c r="D107" s="227"/>
      <c r="E107" s="269"/>
      <c r="F107" s="74"/>
      <c r="R107"/>
      <c r="S107"/>
    </row>
    <row r="108" spans="1:19" s="54" customFormat="1" x14ac:dyDescent="0.2">
      <c r="A108" s="57" t="s">
        <v>24</v>
      </c>
      <c r="B108" s="71" t="s">
        <v>25</v>
      </c>
      <c r="C108" s="52"/>
      <c r="D108" s="52"/>
      <c r="E108" s="265"/>
      <c r="F108" s="61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/>
      <c r="S108"/>
    </row>
    <row r="109" spans="1:19" s="54" customFormat="1" x14ac:dyDescent="0.2">
      <c r="A109" s="57"/>
      <c r="B109" s="71"/>
      <c r="C109" s="52"/>
      <c r="D109" s="52"/>
      <c r="E109" s="265"/>
      <c r="F109" s="61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/>
      <c r="S109"/>
    </row>
    <row r="110" spans="1:19" s="54" customFormat="1" ht="63.75" x14ac:dyDescent="0.2">
      <c r="A110" s="60" t="s">
        <v>71</v>
      </c>
      <c r="B110" s="202" t="s">
        <v>313</v>
      </c>
      <c r="C110" s="52"/>
      <c r="D110" s="52"/>
      <c r="E110" s="265"/>
      <c r="F110" s="61">
        <f>0.05*(F90+F84+F76+F58+F28+F106)</f>
        <v>0</v>
      </c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/>
      <c r="S110"/>
    </row>
    <row r="111" spans="1:19" s="54" customFormat="1" x14ac:dyDescent="0.2">
      <c r="A111" s="62"/>
      <c r="B111" s="86"/>
      <c r="C111" s="230"/>
      <c r="D111" s="230"/>
      <c r="E111" s="272"/>
      <c r="F111" s="65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/>
      <c r="S111"/>
    </row>
    <row r="112" spans="1:19" s="54" customFormat="1" x14ac:dyDescent="0.2">
      <c r="A112" s="57" t="s">
        <v>24</v>
      </c>
      <c r="B112" s="71" t="s">
        <v>219</v>
      </c>
      <c r="C112" s="52"/>
      <c r="D112" s="52"/>
      <c r="E112" s="265"/>
      <c r="F112" s="59">
        <f>SUM(F110:F110)</f>
        <v>0</v>
      </c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/>
      <c r="S112"/>
    </row>
    <row r="113" spans="1:19" s="54" customFormat="1" ht="13.5" thickBot="1" x14ac:dyDescent="0.25">
      <c r="A113" s="140"/>
      <c r="B113" s="140"/>
      <c r="C113" s="234"/>
      <c r="D113" s="235"/>
      <c r="E113" s="274"/>
      <c r="F113" s="236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/>
      <c r="S113"/>
    </row>
    <row r="114" spans="1:19" s="54" customFormat="1" ht="13.5" thickTop="1" x14ac:dyDescent="0.2">
      <c r="A114" s="57" t="s">
        <v>72</v>
      </c>
      <c r="B114" s="71" t="s">
        <v>217</v>
      </c>
      <c r="C114" s="58"/>
      <c r="D114" s="237"/>
      <c r="E114" s="264"/>
      <c r="F114" s="238">
        <f>F112+F90+F84+F76+F58+F28</f>
        <v>0</v>
      </c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/>
      <c r="S114"/>
    </row>
  </sheetData>
  <sheetProtection algorithmName="SHA-512" hashValue="MXj+Il++qflMHmwiGBqId9pfxdjxBwe0DJvNG3HDaKS4I6ohbeyxaPmyaQgHod+tN9a6vjg/NSaJOsKxSL9eyg==" saltValue="oy0k3JOuof1futXWERXdYg==" spinCount="100000" sheet="1" objects="1" scenarios="1"/>
  <protectedRanges>
    <protectedRange sqref="E27 R27" name="cena an enoto_5"/>
    <protectedRange sqref="R25 E25" name="cena an enoto_1_2"/>
  </protectedRanges>
  <pageMargins left="0.70866141732283472" right="0.70866141732283472" top="0.74803149606299213" bottom="0.74803149606299213" header="0.31496062992125984" footer="0.31496062992125984"/>
  <pageSetup paperSize="9" scale="97" orientation="portrait" r:id="rId1"/>
  <headerFooter>
    <oddFooter>&amp;RStran &amp;P od &amp;N</oddFooter>
  </headerFooter>
  <rowBreaks count="3" manualBreakCount="3">
    <brk id="29" max="5" man="1"/>
    <brk id="59" max="5" man="1"/>
    <brk id="91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93"/>
  <sheetViews>
    <sheetView topLeftCell="A58" zoomScaleNormal="100" workbookViewId="0">
      <selection activeCell="K180" sqref="C180:K180"/>
    </sheetView>
  </sheetViews>
  <sheetFormatPr defaultColWidth="9.140625" defaultRowHeight="12.75" x14ac:dyDescent="0.2"/>
  <cols>
    <col min="1" max="1" width="15.28515625" style="32" customWidth="1"/>
    <col min="2" max="2" width="12" style="32" bestFit="1" customWidth="1"/>
    <col min="3" max="3" width="18.28515625" style="32" customWidth="1"/>
    <col min="4" max="4" width="9.7109375" style="32" customWidth="1"/>
    <col min="5" max="5" width="9.5703125" style="32" customWidth="1"/>
    <col min="6" max="6" width="13.7109375" style="32" customWidth="1"/>
    <col min="7" max="7" width="14.42578125" style="32" customWidth="1"/>
    <col min="8" max="8" width="18.28515625" style="32" customWidth="1"/>
    <col min="9" max="9" width="16.85546875" style="32" customWidth="1"/>
    <col min="10" max="10" width="18.140625" style="32" customWidth="1"/>
    <col min="11" max="11" width="14.7109375" style="32" bestFit="1" customWidth="1"/>
    <col min="12" max="12" width="14.42578125" style="32" customWidth="1"/>
    <col min="13" max="13" width="20" style="32" customWidth="1"/>
    <col min="14" max="16384" width="9.140625" style="32"/>
  </cols>
  <sheetData>
    <row r="1" spans="1:18" x14ac:dyDescent="0.2">
      <c r="I1" s="144"/>
    </row>
    <row r="2" spans="1:18" x14ac:dyDescent="0.2">
      <c r="B2" s="33" t="s">
        <v>72</v>
      </c>
      <c r="C2" s="33" t="s">
        <v>225</v>
      </c>
      <c r="D2" s="34"/>
      <c r="E2" s="34"/>
      <c r="F2" s="34"/>
      <c r="G2" s="34"/>
      <c r="H2" s="34"/>
      <c r="M2" s="147" t="s">
        <v>298</v>
      </c>
      <c r="N2" s="148">
        <v>0.2</v>
      </c>
    </row>
    <row r="3" spans="1:18" ht="25.5" x14ac:dyDescent="0.2">
      <c r="A3" s="163" t="s">
        <v>253</v>
      </c>
      <c r="B3" s="164"/>
      <c r="C3" s="164"/>
      <c r="D3" s="165">
        <f>SUM(D8:D19)+D20</f>
        <v>-4059.2200000000003</v>
      </c>
      <c r="E3" s="165">
        <f>SUM(E8:E19)+E20</f>
        <v>9045.0699999999979</v>
      </c>
      <c r="F3" s="165"/>
      <c r="G3" s="165"/>
      <c r="H3" s="165"/>
      <c r="I3" s="165">
        <f>SUM(I8:I19)+I20</f>
        <v>-324.72440000000006</v>
      </c>
      <c r="J3" s="165">
        <f>SUM(J8:J19)+J20</f>
        <v>-4592.728799999999</v>
      </c>
      <c r="K3" s="166"/>
      <c r="L3" s="166"/>
      <c r="M3" s="147" t="s">
        <v>299</v>
      </c>
      <c r="N3" s="149">
        <v>0.4</v>
      </c>
    </row>
    <row r="4" spans="1:18" ht="13.5" thickBot="1" x14ac:dyDescent="0.25">
      <c r="B4" s="37"/>
      <c r="C4" s="38"/>
      <c r="D4" s="150" t="s">
        <v>226</v>
      </c>
      <c r="E4" s="150" t="s">
        <v>226</v>
      </c>
      <c r="F4" s="150" t="s">
        <v>226</v>
      </c>
      <c r="G4" s="39"/>
      <c r="H4" s="39"/>
      <c r="I4" s="39"/>
      <c r="J4" s="39"/>
      <c r="K4" s="143"/>
      <c r="L4" s="143"/>
    </row>
    <row r="5" spans="1:18" ht="64.5" customHeight="1" thickTop="1" x14ac:dyDescent="0.2">
      <c r="A5" s="254" t="s">
        <v>223</v>
      </c>
      <c r="B5" s="40"/>
      <c r="C5" s="135"/>
      <c r="D5" s="136" t="s">
        <v>210</v>
      </c>
      <c r="E5" s="136" t="s">
        <v>211</v>
      </c>
      <c r="F5" s="136" t="s">
        <v>212</v>
      </c>
      <c r="G5" s="138" t="s">
        <v>214</v>
      </c>
      <c r="H5" s="138" t="s">
        <v>244</v>
      </c>
      <c r="I5" s="136" t="s">
        <v>300</v>
      </c>
      <c r="J5" s="136" t="s">
        <v>301</v>
      </c>
      <c r="K5" s="136" t="s">
        <v>302</v>
      </c>
      <c r="L5" s="136" t="s">
        <v>227</v>
      </c>
      <c r="N5" s="136"/>
      <c r="O5" s="136"/>
    </row>
    <row r="6" spans="1:18" ht="12.75" customHeight="1" x14ac:dyDescent="0.2">
      <c r="A6" s="254"/>
      <c r="B6" s="40"/>
      <c r="C6" s="151"/>
      <c r="D6" s="145"/>
      <c r="E6" s="145"/>
      <c r="F6" s="145"/>
      <c r="G6" s="41"/>
      <c r="H6" s="41"/>
      <c r="N6" s="41"/>
      <c r="O6" s="41"/>
    </row>
    <row r="7" spans="1:18" x14ac:dyDescent="0.2">
      <c r="A7" s="254"/>
      <c r="B7" s="153"/>
      <c r="C7" s="157"/>
      <c r="D7" s="154"/>
      <c r="E7" s="154"/>
      <c r="F7" s="154"/>
      <c r="G7" s="154"/>
      <c r="H7" s="154"/>
      <c r="I7" s="155"/>
      <c r="J7" s="155"/>
      <c r="K7" s="155"/>
      <c r="L7" s="156"/>
      <c r="N7" s="152"/>
      <c r="O7" s="137"/>
    </row>
    <row r="8" spans="1:18" x14ac:dyDescent="0.2">
      <c r="A8" s="254"/>
      <c r="B8" s="167"/>
      <c r="C8" s="168" t="s">
        <v>251</v>
      </c>
      <c r="D8" s="169">
        <v>-42.15</v>
      </c>
      <c r="E8" s="169">
        <v>1132.8</v>
      </c>
      <c r="F8" s="169">
        <f>D8+E8</f>
        <v>1090.6499999999999</v>
      </c>
      <c r="G8" s="169">
        <f>D8*0.1</f>
        <v>-4.2149999999999999</v>
      </c>
      <c r="H8" s="169">
        <f>D8-G8</f>
        <v>-37.935000000000002</v>
      </c>
      <c r="I8" s="170">
        <f t="shared" ref="I8:I20" si="0">G8*(1+$N$3)</f>
        <v>-5.9009999999999998</v>
      </c>
      <c r="J8" s="170">
        <f t="shared" ref="J8:J20" si="1">H8*(1+$N$2)</f>
        <v>-45.521999999999998</v>
      </c>
      <c r="K8" s="170">
        <f t="shared" ref="K8:K20" si="2">E8*(1+$N$2)</f>
        <v>1359.36</v>
      </c>
      <c r="L8" s="171">
        <v>1714.59</v>
      </c>
      <c r="N8" s="32" t="s">
        <v>232</v>
      </c>
      <c r="O8" s="137"/>
    </row>
    <row r="9" spans="1:18" ht="38.25" x14ac:dyDescent="0.2">
      <c r="A9" s="254"/>
      <c r="B9" s="172"/>
      <c r="C9" s="168" t="s">
        <v>249</v>
      </c>
      <c r="D9" s="169">
        <v>0</v>
      </c>
      <c r="E9" s="169">
        <v>5662</v>
      </c>
      <c r="F9" s="169">
        <f>D9+E9</f>
        <v>5662</v>
      </c>
      <c r="G9" s="169">
        <f>D9*0.1</f>
        <v>0</v>
      </c>
      <c r="H9" s="169">
        <f>D9-G9</f>
        <v>0</v>
      </c>
      <c r="I9" s="170">
        <f t="shared" si="0"/>
        <v>0</v>
      </c>
      <c r="J9" s="170">
        <f t="shared" si="1"/>
        <v>0</v>
      </c>
      <c r="K9" s="170">
        <f t="shared" si="2"/>
        <v>6794.4</v>
      </c>
      <c r="L9" s="171">
        <v>2130</v>
      </c>
      <c r="N9" s="32" t="s">
        <v>232</v>
      </c>
      <c r="R9" s="32" t="s">
        <v>237</v>
      </c>
    </row>
    <row r="10" spans="1:18" ht="25.5" x14ac:dyDescent="0.2">
      <c r="A10" s="254"/>
      <c r="B10" s="172"/>
      <c r="C10" s="168" t="s">
        <v>242</v>
      </c>
      <c r="D10" s="169">
        <v>-1060.8800000000001</v>
      </c>
      <c r="E10" s="169">
        <v>32.26</v>
      </c>
      <c r="F10" s="169">
        <f>D10+E10</f>
        <v>-1028.6200000000001</v>
      </c>
      <c r="G10" s="169">
        <f>D10*0.1</f>
        <v>-106.08800000000002</v>
      </c>
      <c r="H10" s="169">
        <f>D10-G10</f>
        <v>-954.79200000000014</v>
      </c>
      <c r="I10" s="170">
        <f t="shared" si="0"/>
        <v>-148.52320000000003</v>
      </c>
      <c r="J10" s="170">
        <f t="shared" si="1"/>
        <v>-1145.7504000000001</v>
      </c>
      <c r="K10" s="170">
        <f t="shared" si="2"/>
        <v>38.711999999999996</v>
      </c>
      <c r="L10" s="171">
        <v>3834.89</v>
      </c>
      <c r="N10" s="32" t="s">
        <v>241</v>
      </c>
      <c r="R10" s="32" t="s">
        <v>237</v>
      </c>
    </row>
    <row r="11" spans="1:18" ht="25.5" x14ac:dyDescent="0.2">
      <c r="A11" s="254"/>
      <c r="B11" s="167"/>
      <c r="C11" s="168" t="s">
        <v>240</v>
      </c>
      <c r="D11" s="169">
        <v>-269.43</v>
      </c>
      <c r="E11" s="169">
        <v>1778.11</v>
      </c>
      <c r="F11" s="169">
        <f>D11+E11</f>
        <v>1508.6799999999998</v>
      </c>
      <c r="G11" s="169">
        <v>0</v>
      </c>
      <c r="H11" s="169">
        <f t="shared" ref="H11:H17" si="3">D11-G11</f>
        <v>-269.43</v>
      </c>
      <c r="I11" s="170">
        <f t="shared" si="0"/>
        <v>0</v>
      </c>
      <c r="J11" s="170">
        <f t="shared" si="1"/>
        <v>-323.31599999999997</v>
      </c>
      <c r="K11" s="170">
        <f t="shared" si="2"/>
        <v>2133.732</v>
      </c>
      <c r="L11" s="171">
        <v>5276.71</v>
      </c>
      <c r="M11" s="129"/>
      <c r="N11" s="129" t="s">
        <v>238</v>
      </c>
    </row>
    <row r="12" spans="1:18" ht="38.25" x14ac:dyDescent="0.2">
      <c r="A12" s="254"/>
      <c r="B12" s="167"/>
      <c r="C12" s="168" t="s">
        <v>247</v>
      </c>
      <c r="D12" s="169">
        <f>-171.19+-90.3</f>
        <v>-261.49</v>
      </c>
      <c r="E12" s="169">
        <f>0.41+1.02</f>
        <v>1.43</v>
      </c>
      <c r="F12" s="169">
        <f>D12+E12</f>
        <v>-260.06</v>
      </c>
      <c r="G12" s="169">
        <v>0</v>
      </c>
      <c r="H12" s="169">
        <f t="shared" si="3"/>
        <v>-261.49</v>
      </c>
      <c r="I12" s="170">
        <f t="shared" si="0"/>
        <v>0</v>
      </c>
      <c r="J12" s="170">
        <f t="shared" si="1"/>
        <v>-313.78800000000001</v>
      </c>
      <c r="K12" s="170">
        <f t="shared" si="2"/>
        <v>1.716</v>
      </c>
      <c r="L12" s="171">
        <f>157.82+152.94</f>
        <v>310.76</v>
      </c>
      <c r="M12" s="129"/>
      <c r="N12" s="129" t="s">
        <v>238</v>
      </c>
    </row>
    <row r="13" spans="1:18" ht="25.5" x14ac:dyDescent="0.2">
      <c r="A13" s="254"/>
      <c r="B13" s="172"/>
      <c r="C13" s="168" t="s">
        <v>250</v>
      </c>
      <c r="D13" s="169">
        <v>-372.46</v>
      </c>
      <c r="E13" s="169">
        <v>246.93</v>
      </c>
      <c r="F13" s="169">
        <f t="shared" ref="F13:F18" si="4">D13+E13</f>
        <v>-125.52999999999997</v>
      </c>
      <c r="G13" s="169">
        <v>0</v>
      </c>
      <c r="H13" s="169">
        <f t="shared" si="3"/>
        <v>-372.46</v>
      </c>
      <c r="I13" s="170">
        <f t="shared" si="0"/>
        <v>0</v>
      </c>
      <c r="J13" s="170">
        <f t="shared" si="1"/>
        <v>-446.95199999999994</v>
      </c>
      <c r="K13" s="170">
        <f t="shared" si="2"/>
        <v>296.31599999999997</v>
      </c>
      <c r="L13" s="171">
        <v>1161.55</v>
      </c>
      <c r="M13" s="129"/>
      <c r="N13" s="129" t="s">
        <v>238</v>
      </c>
    </row>
    <row r="14" spans="1:18" ht="25.5" x14ac:dyDescent="0.2">
      <c r="A14" s="254"/>
      <c r="B14" s="167"/>
      <c r="C14" s="168" t="s">
        <v>239</v>
      </c>
      <c r="D14" s="169">
        <v>-173.45</v>
      </c>
      <c r="E14" s="169">
        <v>0.04</v>
      </c>
      <c r="F14" s="169">
        <f t="shared" si="4"/>
        <v>-173.41</v>
      </c>
      <c r="G14" s="169">
        <v>0</v>
      </c>
      <c r="H14" s="169">
        <f t="shared" si="3"/>
        <v>-173.45</v>
      </c>
      <c r="I14" s="170">
        <f t="shared" si="0"/>
        <v>0</v>
      </c>
      <c r="J14" s="170">
        <f t="shared" si="1"/>
        <v>-208.14</v>
      </c>
      <c r="K14" s="170">
        <f t="shared" si="2"/>
        <v>4.8000000000000001E-2</v>
      </c>
      <c r="L14" s="171">
        <v>376.08</v>
      </c>
      <c r="M14" s="129"/>
      <c r="N14" s="129" t="s">
        <v>238</v>
      </c>
    </row>
    <row r="15" spans="1:18" ht="12" customHeight="1" x14ac:dyDescent="0.2">
      <c r="A15" s="254"/>
      <c r="B15" s="167"/>
      <c r="C15" s="167" t="s">
        <v>236</v>
      </c>
      <c r="D15" s="169">
        <v>-168.89</v>
      </c>
      <c r="E15" s="169">
        <v>85.31</v>
      </c>
      <c r="F15" s="169">
        <f t="shared" si="4"/>
        <v>-83.579999999999984</v>
      </c>
      <c r="G15" s="169">
        <f>D15*0.1</f>
        <v>-16.888999999999999</v>
      </c>
      <c r="H15" s="169">
        <f t="shared" si="3"/>
        <v>-152.00099999999998</v>
      </c>
      <c r="I15" s="170">
        <f t="shared" si="0"/>
        <v>-23.644599999999997</v>
      </c>
      <c r="J15" s="170">
        <f t="shared" si="1"/>
        <v>-182.40119999999996</v>
      </c>
      <c r="K15" s="170">
        <f t="shared" si="2"/>
        <v>102.372</v>
      </c>
      <c r="L15" s="171">
        <v>930.08</v>
      </c>
      <c r="M15" s="129"/>
      <c r="N15" s="129" t="s">
        <v>243</v>
      </c>
    </row>
    <row r="16" spans="1:18" ht="25.5" x14ac:dyDescent="0.2">
      <c r="A16" s="254"/>
      <c r="B16" s="167"/>
      <c r="C16" s="168" t="s">
        <v>246</v>
      </c>
      <c r="D16" s="169">
        <v>-378.47</v>
      </c>
      <c r="E16" s="169">
        <v>71.06</v>
      </c>
      <c r="F16" s="169">
        <f t="shared" si="4"/>
        <v>-307.41000000000003</v>
      </c>
      <c r="G16" s="169">
        <v>0</v>
      </c>
      <c r="H16" s="169">
        <f>D16-G16</f>
        <v>-378.47</v>
      </c>
      <c r="I16" s="170">
        <f t="shared" si="0"/>
        <v>0</v>
      </c>
      <c r="J16" s="170">
        <f t="shared" si="1"/>
        <v>-454.16400000000004</v>
      </c>
      <c r="K16" s="170">
        <f t="shared" si="2"/>
        <v>85.272000000000006</v>
      </c>
      <c r="L16" s="171">
        <v>1210.55</v>
      </c>
      <c r="M16" s="129"/>
      <c r="N16" s="173" t="s">
        <v>235</v>
      </c>
      <c r="O16" s="173"/>
      <c r="P16" s="173"/>
      <c r="Q16" s="173"/>
      <c r="R16"/>
    </row>
    <row r="17" spans="1:18" ht="25.5" x14ac:dyDescent="0.2">
      <c r="A17" s="254"/>
      <c r="B17" s="167"/>
      <c r="C17" s="168" t="s">
        <v>245</v>
      </c>
      <c r="D17" s="169">
        <v>-789.11</v>
      </c>
      <c r="E17" s="169">
        <v>1.3</v>
      </c>
      <c r="F17" s="169">
        <f t="shared" si="4"/>
        <v>-787.81000000000006</v>
      </c>
      <c r="G17" s="169">
        <v>0</v>
      </c>
      <c r="H17" s="169">
        <f t="shared" si="3"/>
        <v>-789.11</v>
      </c>
      <c r="I17" s="170">
        <f t="shared" si="0"/>
        <v>0</v>
      </c>
      <c r="J17" s="170">
        <f t="shared" si="1"/>
        <v>-946.93200000000002</v>
      </c>
      <c r="K17" s="170">
        <f t="shared" si="2"/>
        <v>1.56</v>
      </c>
      <c r="L17" s="171">
        <v>914.77</v>
      </c>
      <c r="M17" s="129"/>
      <c r="N17" s="129" t="s">
        <v>238</v>
      </c>
    </row>
    <row r="18" spans="1:18" ht="12" customHeight="1" x14ac:dyDescent="0.2">
      <c r="A18" s="254"/>
      <c r="B18" s="172"/>
      <c r="C18" s="167" t="s">
        <v>234</v>
      </c>
      <c r="D18" s="169">
        <v>-19.12</v>
      </c>
      <c r="E18" s="169">
        <v>5.98</v>
      </c>
      <c r="F18" s="169">
        <f t="shared" si="4"/>
        <v>-13.14</v>
      </c>
      <c r="G18" s="169">
        <v>0</v>
      </c>
      <c r="H18" s="169">
        <f>D18-G18</f>
        <v>-19.12</v>
      </c>
      <c r="I18" s="170">
        <f t="shared" si="0"/>
        <v>0</v>
      </c>
      <c r="J18" s="170">
        <f t="shared" si="1"/>
        <v>-22.943999999999999</v>
      </c>
      <c r="K18" s="170">
        <f t="shared" si="2"/>
        <v>7.1760000000000002</v>
      </c>
      <c r="L18" s="171">
        <v>342.2</v>
      </c>
      <c r="M18" s="129"/>
      <c r="N18" s="173" t="s">
        <v>235</v>
      </c>
      <c r="O18" s="173"/>
      <c r="P18" s="173"/>
      <c r="Q18" s="173"/>
      <c r="R18"/>
    </row>
    <row r="19" spans="1:18" ht="25.5" x14ac:dyDescent="0.2">
      <c r="A19" s="254"/>
      <c r="B19" s="158"/>
      <c r="C19" s="159" t="s">
        <v>231</v>
      </c>
      <c r="D19" s="160">
        <v>-523.77</v>
      </c>
      <c r="E19" s="160">
        <v>19.21</v>
      </c>
      <c r="F19" s="160">
        <f>D19+E19</f>
        <v>-504.56</v>
      </c>
      <c r="G19" s="160">
        <f>D19*0.2</f>
        <v>-104.754</v>
      </c>
      <c r="H19" s="160">
        <f>D19-G19</f>
        <v>-419.01599999999996</v>
      </c>
      <c r="I19" s="161">
        <f t="shared" si="0"/>
        <v>-146.65559999999999</v>
      </c>
      <c r="J19" s="161">
        <f t="shared" si="1"/>
        <v>-502.81919999999991</v>
      </c>
      <c r="K19" s="161">
        <f t="shared" si="2"/>
        <v>23.052</v>
      </c>
      <c r="L19" s="162">
        <v>1957.83</v>
      </c>
      <c r="M19" s="174"/>
      <c r="N19" s="175" t="s">
        <v>254</v>
      </c>
      <c r="O19" s="174"/>
      <c r="P19" s="174"/>
    </row>
    <row r="20" spans="1:18" ht="25.5" x14ac:dyDescent="0.2">
      <c r="B20" s="167"/>
      <c r="C20" s="168" t="s">
        <v>252</v>
      </c>
      <c r="D20" s="169">
        <v>0</v>
      </c>
      <c r="E20" s="169">
        <f>L20*0.4</f>
        <v>8.64</v>
      </c>
      <c r="F20" s="169">
        <f>D20+E20</f>
        <v>8.64</v>
      </c>
      <c r="G20" s="169">
        <f>D20*0.2</f>
        <v>0</v>
      </c>
      <c r="H20" s="169">
        <f>D20-G20</f>
        <v>0</v>
      </c>
      <c r="I20" s="170">
        <f t="shared" si="0"/>
        <v>0</v>
      </c>
      <c r="J20" s="170">
        <f t="shared" si="1"/>
        <v>0</v>
      </c>
      <c r="K20" s="170">
        <f t="shared" si="2"/>
        <v>10.368</v>
      </c>
      <c r="L20" s="171">
        <v>21.6</v>
      </c>
    </row>
    <row r="21" spans="1:18" ht="13.5" thickBot="1" x14ac:dyDescent="0.25">
      <c r="B21" s="35"/>
      <c r="C21" s="40"/>
      <c r="D21" s="36"/>
      <c r="E21" s="255" t="s">
        <v>150</v>
      </c>
      <c r="F21" s="255"/>
      <c r="G21" s="255"/>
      <c r="H21" s="256" t="s">
        <v>151</v>
      </c>
      <c r="I21" s="256"/>
      <c r="J21" s="256"/>
    </row>
    <row r="22" spans="1:18" ht="13.5" thickBot="1" x14ac:dyDescent="0.25">
      <c r="B22" s="42" t="s">
        <v>27</v>
      </c>
      <c r="C22" s="43" t="s">
        <v>28</v>
      </c>
      <c r="D22" s="44" t="s">
        <v>6</v>
      </c>
      <c r="E22" s="92" t="s">
        <v>73</v>
      </c>
      <c r="F22" s="92" t="s">
        <v>74</v>
      </c>
      <c r="G22" s="93" t="s">
        <v>9</v>
      </c>
      <c r="H22" s="87" t="s">
        <v>73</v>
      </c>
      <c r="I22" s="87" t="s">
        <v>74</v>
      </c>
      <c r="J22" s="88" t="s">
        <v>9</v>
      </c>
    </row>
    <row r="23" spans="1:18" x14ac:dyDescent="0.2">
      <c r="B23" s="35"/>
      <c r="C23" s="35"/>
      <c r="D23" s="36"/>
      <c r="E23" s="94"/>
      <c r="F23" s="94"/>
      <c r="G23" s="94"/>
      <c r="H23" s="89"/>
      <c r="I23" s="89"/>
      <c r="J23" s="89"/>
    </row>
    <row r="24" spans="1:18" x14ac:dyDescent="0.2">
      <c r="B24" s="35" t="s">
        <v>14</v>
      </c>
      <c r="C24" s="35" t="s">
        <v>44</v>
      </c>
      <c r="D24" s="41"/>
      <c r="E24" s="95"/>
      <c r="F24" s="95"/>
      <c r="G24" s="95"/>
      <c r="H24" s="90"/>
      <c r="I24" s="90"/>
      <c r="J24" s="90"/>
    </row>
    <row r="25" spans="1:18" x14ac:dyDescent="0.2">
      <c r="B25" s="45"/>
      <c r="C25" s="45"/>
      <c r="D25" s="46"/>
      <c r="E25" s="96"/>
      <c r="F25" s="96"/>
      <c r="G25" s="96"/>
      <c r="H25" s="91"/>
      <c r="I25" s="91"/>
      <c r="J25" s="91"/>
      <c r="Q25" s="32">
        <v>0.05</v>
      </c>
    </row>
    <row r="26" spans="1:18" x14ac:dyDescent="0.2">
      <c r="A26" s="257" t="s">
        <v>194</v>
      </c>
      <c r="B26" s="47" t="s">
        <v>30</v>
      </c>
      <c r="C26" s="48" t="s">
        <v>83</v>
      </c>
      <c r="D26" s="46" t="s">
        <v>3</v>
      </c>
      <c r="E26" s="96">
        <v>3.8</v>
      </c>
      <c r="F26" s="96">
        <v>5</v>
      </c>
      <c r="G26" s="96">
        <f>E26*F26</f>
        <v>19</v>
      </c>
      <c r="H26" s="91">
        <f>0.06+0.16</f>
        <v>0.22</v>
      </c>
      <c r="I26" s="91">
        <v>5</v>
      </c>
      <c r="J26" s="91">
        <f>H26*I26</f>
        <v>1.1000000000000001</v>
      </c>
      <c r="L26" s="41"/>
      <c r="Q26" s="32">
        <v>-0.51</v>
      </c>
    </row>
    <row r="27" spans="1:18" x14ac:dyDescent="0.2">
      <c r="A27" s="257"/>
      <c r="B27" s="47"/>
      <c r="C27" s="47"/>
      <c r="D27" s="46"/>
      <c r="E27" s="96"/>
      <c r="F27" s="96"/>
      <c r="G27" s="96"/>
      <c r="H27" s="91"/>
      <c r="I27" s="91"/>
      <c r="J27" s="91"/>
      <c r="L27" s="41"/>
      <c r="Q27" s="32">
        <v>-0.51</v>
      </c>
    </row>
    <row r="28" spans="1:18" x14ac:dyDescent="0.2">
      <c r="A28" s="257"/>
      <c r="B28" s="47" t="s">
        <v>31</v>
      </c>
      <c r="C28" s="48" t="s">
        <v>84</v>
      </c>
      <c r="D28" s="46" t="s">
        <v>3</v>
      </c>
      <c r="E28" s="96">
        <v>4.2699999999999996</v>
      </c>
      <c r="F28" s="96">
        <v>20</v>
      </c>
      <c r="G28" s="96">
        <f>((E28+E26)/2)*F28</f>
        <v>80.7</v>
      </c>
      <c r="H28" s="91">
        <f>0.13+0.13</f>
        <v>0.26</v>
      </c>
      <c r="I28" s="91">
        <v>20</v>
      </c>
      <c r="J28" s="91">
        <f>((H28+H26)/2)*I28</f>
        <v>4.8</v>
      </c>
      <c r="Q28" s="32">
        <v>-0.35</v>
      </c>
    </row>
    <row r="29" spans="1:18" x14ac:dyDescent="0.2">
      <c r="A29" s="257"/>
      <c r="B29" s="47"/>
      <c r="C29" s="47"/>
      <c r="D29" s="46"/>
      <c r="E29" s="96"/>
      <c r="F29" s="96"/>
      <c r="G29" s="96"/>
      <c r="H29" s="91"/>
      <c r="I29" s="91"/>
      <c r="J29" s="91"/>
    </row>
    <row r="30" spans="1:18" x14ac:dyDescent="0.2">
      <c r="A30" s="257"/>
      <c r="B30" s="47" t="s">
        <v>33</v>
      </c>
      <c r="C30" s="48" t="s">
        <v>85</v>
      </c>
      <c r="D30" s="46" t="s">
        <v>3</v>
      </c>
      <c r="E30" s="96">
        <v>4.16</v>
      </c>
      <c r="F30" s="96">
        <v>20</v>
      </c>
      <c r="G30" s="96">
        <f t="shared" ref="G30:G40" si="5">((E30+E28)/2)*F30</f>
        <v>84.3</v>
      </c>
      <c r="H30" s="91">
        <f>0.42+0.18</f>
        <v>0.6</v>
      </c>
      <c r="I30" s="91">
        <v>20</v>
      </c>
      <c r="J30" s="91">
        <f>((H30+H28)/2)*I30</f>
        <v>8.6</v>
      </c>
    </row>
    <row r="31" spans="1:18" x14ac:dyDescent="0.2">
      <c r="A31" s="257"/>
      <c r="B31" s="47"/>
      <c r="C31" s="47"/>
      <c r="D31" s="46"/>
      <c r="E31" s="96"/>
      <c r="F31" s="96"/>
      <c r="G31" s="96"/>
      <c r="H31" s="91"/>
      <c r="I31" s="91"/>
      <c r="J31" s="91"/>
    </row>
    <row r="32" spans="1:18" x14ac:dyDescent="0.2">
      <c r="A32" s="257"/>
      <c r="B32" s="47" t="s">
        <v>34</v>
      </c>
      <c r="C32" s="48" t="s">
        <v>86</v>
      </c>
      <c r="D32" s="46" t="s">
        <v>3</v>
      </c>
      <c r="E32" s="96">
        <v>4.57</v>
      </c>
      <c r="F32" s="96">
        <v>20</v>
      </c>
      <c r="G32" s="96">
        <f t="shared" si="5"/>
        <v>87.300000000000011</v>
      </c>
      <c r="H32" s="91">
        <f>0.23+0.17</f>
        <v>0.4</v>
      </c>
      <c r="I32" s="91">
        <v>20</v>
      </c>
      <c r="J32" s="91">
        <f>((H32+H30)/2)*I32</f>
        <v>10</v>
      </c>
      <c r="L32" s="41"/>
    </row>
    <row r="33" spans="1:12" x14ac:dyDescent="0.2">
      <c r="A33" s="257"/>
      <c r="B33" s="47"/>
      <c r="C33" s="47"/>
      <c r="D33" s="46"/>
      <c r="E33" s="96"/>
      <c r="F33" s="96"/>
      <c r="G33" s="96"/>
      <c r="H33" s="91"/>
      <c r="I33" s="91"/>
      <c r="J33" s="91"/>
      <c r="L33" s="41"/>
    </row>
    <row r="34" spans="1:12" x14ac:dyDescent="0.2">
      <c r="A34" s="257"/>
      <c r="B34" s="47" t="s">
        <v>35</v>
      </c>
      <c r="C34" s="48" t="s">
        <v>87</v>
      </c>
      <c r="D34" s="46" t="s">
        <v>3</v>
      </c>
      <c r="E34" s="96">
        <v>4.18</v>
      </c>
      <c r="F34" s="96">
        <v>20</v>
      </c>
      <c r="G34" s="96">
        <f t="shared" si="5"/>
        <v>87.5</v>
      </c>
      <c r="H34" s="91">
        <f>0.14+0.12</f>
        <v>0.26</v>
      </c>
      <c r="I34" s="91">
        <v>20</v>
      </c>
      <c r="J34" s="91">
        <f>((H34+H32)/2)*I34</f>
        <v>6.6000000000000005</v>
      </c>
    </row>
    <row r="35" spans="1:12" x14ac:dyDescent="0.2">
      <c r="A35" s="257"/>
      <c r="B35" s="47"/>
      <c r="C35" s="47"/>
      <c r="D35" s="46"/>
      <c r="E35" s="96"/>
      <c r="F35" s="96"/>
      <c r="G35" s="96"/>
      <c r="H35" s="91"/>
      <c r="I35" s="91"/>
      <c r="J35" s="91"/>
    </row>
    <row r="36" spans="1:12" x14ac:dyDescent="0.2">
      <c r="A36" s="257"/>
      <c r="B36" s="47" t="s">
        <v>36</v>
      </c>
      <c r="C36" s="48" t="s">
        <v>88</v>
      </c>
      <c r="D36" s="46" t="s">
        <v>3</v>
      </c>
      <c r="E36" s="96">
        <v>3.51</v>
      </c>
      <c r="F36" s="96">
        <v>20</v>
      </c>
      <c r="G36" s="96">
        <f t="shared" si="5"/>
        <v>76.899999999999991</v>
      </c>
      <c r="H36" s="91">
        <f>0.05+0.32</f>
        <v>0.37</v>
      </c>
      <c r="I36" s="91">
        <v>20</v>
      </c>
      <c r="J36" s="91">
        <f>((H36+H34)/2)*I36</f>
        <v>6.3</v>
      </c>
    </row>
    <row r="37" spans="1:12" x14ac:dyDescent="0.2">
      <c r="A37" s="257"/>
      <c r="B37" s="47"/>
      <c r="C37" s="40"/>
      <c r="D37" s="41"/>
      <c r="E37" s="95"/>
      <c r="F37" s="96"/>
      <c r="G37" s="95"/>
      <c r="H37" s="90"/>
      <c r="I37" s="91"/>
      <c r="J37" s="90"/>
    </row>
    <row r="38" spans="1:12" x14ac:dyDescent="0.2">
      <c r="A38" s="257"/>
      <c r="B38" s="47" t="s">
        <v>37</v>
      </c>
      <c r="C38" s="48" t="s">
        <v>89</v>
      </c>
      <c r="D38" s="46" t="s">
        <v>3</v>
      </c>
      <c r="E38" s="96">
        <v>4.24</v>
      </c>
      <c r="F38" s="96">
        <v>20</v>
      </c>
      <c r="G38" s="96">
        <f t="shared" si="5"/>
        <v>77.5</v>
      </c>
      <c r="H38" s="91">
        <f>0.05+0.14</f>
        <v>0.19</v>
      </c>
      <c r="I38" s="91">
        <v>20</v>
      </c>
      <c r="J38" s="91">
        <f>((H38+H36)/2)*I38</f>
        <v>5.6000000000000005</v>
      </c>
      <c r="L38" s="41"/>
    </row>
    <row r="39" spans="1:12" x14ac:dyDescent="0.2">
      <c r="A39" s="257"/>
      <c r="B39" s="47"/>
      <c r="C39" s="40"/>
      <c r="D39" s="41"/>
      <c r="E39" s="95"/>
      <c r="F39" s="96"/>
      <c r="G39" s="95"/>
      <c r="H39" s="90"/>
      <c r="I39" s="91"/>
      <c r="J39" s="90"/>
      <c r="L39" s="41"/>
    </row>
    <row r="40" spans="1:12" x14ac:dyDescent="0.2">
      <c r="A40" s="257"/>
      <c r="B40" s="47" t="s">
        <v>38</v>
      </c>
      <c r="C40" s="48" t="s">
        <v>90</v>
      </c>
      <c r="D40" s="46" t="s">
        <v>3</v>
      </c>
      <c r="E40" s="96">
        <v>4.59</v>
      </c>
      <c r="F40" s="96">
        <v>20</v>
      </c>
      <c r="G40" s="96">
        <f t="shared" si="5"/>
        <v>88.3</v>
      </c>
      <c r="H40" s="91">
        <f>0.11+0.1</f>
        <v>0.21000000000000002</v>
      </c>
      <c r="I40" s="91">
        <v>20</v>
      </c>
      <c r="J40" s="91">
        <f>((H40+H38)/2)*I40</f>
        <v>4</v>
      </c>
      <c r="K40" s="49"/>
    </row>
    <row r="41" spans="1:12" x14ac:dyDescent="0.2">
      <c r="A41" s="257"/>
      <c r="B41" s="47"/>
      <c r="C41" s="47"/>
      <c r="D41" s="46"/>
      <c r="E41" s="96"/>
      <c r="F41" s="96"/>
      <c r="G41" s="96"/>
      <c r="H41" s="91"/>
      <c r="I41" s="91"/>
      <c r="J41" s="91"/>
      <c r="K41" s="49"/>
      <c r="L41" s="41"/>
    </row>
    <row r="42" spans="1:12" x14ac:dyDescent="0.2">
      <c r="A42" s="257"/>
      <c r="B42" s="47" t="s">
        <v>39</v>
      </c>
      <c r="C42" s="48" t="s">
        <v>91</v>
      </c>
      <c r="D42" s="46" t="s">
        <v>3</v>
      </c>
      <c r="E42" s="96">
        <v>4.1399999999999997</v>
      </c>
      <c r="F42" s="96">
        <v>20</v>
      </c>
      <c r="G42" s="96">
        <f>((E42+E40)/2)*F42</f>
        <v>87.300000000000011</v>
      </c>
      <c r="H42" s="91">
        <f>0.05+0.06</f>
        <v>0.11</v>
      </c>
      <c r="I42" s="91">
        <v>20</v>
      </c>
      <c r="J42" s="91">
        <f>((H42+H40)/2)*I42</f>
        <v>3.2</v>
      </c>
      <c r="L42" s="41"/>
    </row>
    <row r="43" spans="1:12" x14ac:dyDescent="0.2">
      <c r="A43" s="257"/>
      <c r="B43" s="47"/>
      <c r="C43" s="47"/>
      <c r="D43" s="46"/>
      <c r="E43" s="96"/>
      <c r="F43" s="96"/>
      <c r="G43" s="96"/>
      <c r="H43" s="91"/>
      <c r="I43" s="91"/>
      <c r="J43" s="91"/>
      <c r="L43" s="41"/>
    </row>
    <row r="44" spans="1:12" x14ac:dyDescent="0.2">
      <c r="A44" s="257"/>
      <c r="B44" s="47" t="s">
        <v>40</v>
      </c>
      <c r="C44" s="48" t="s">
        <v>92</v>
      </c>
      <c r="D44" s="46" t="s">
        <v>3</v>
      </c>
      <c r="E44" s="96">
        <v>4.29</v>
      </c>
      <c r="F44" s="96">
        <v>20</v>
      </c>
      <c r="G44" s="96">
        <f>((E44+E42)/2)*F44</f>
        <v>84.3</v>
      </c>
      <c r="H44" s="91">
        <f>0.11+0.15</f>
        <v>0.26</v>
      </c>
      <c r="I44" s="91">
        <v>20</v>
      </c>
      <c r="J44" s="91">
        <f>((H44+H42)/2)*I44</f>
        <v>3.7</v>
      </c>
    </row>
    <row r="45" spans="1:12" x14ac:dyDescent="0.2">
      <c r="A45" s="257"/>
      <c r="B45" s="47"/>
      <c r="C45" s="40"/>
      <c r="D45" s="41"/>
      <c r="E45" s="95"/>
      <c r="F45" s="96"/>
      <c r="G45" s="95"/>
      <c r="H45" s="90"/>
      <c r="I45" s="91"/>
      <c r="J45" s="90"/>
    </row>
    <row r="46" spans="1:12" x14ac:dyDescent="0.2">
      <c r="A46" s="257"/>
      <c r="B46" s="47" t="s">
        <v>41</v>
      </c>
      <c r="C46" s="48" t="s">
        <v>93</v>
      </c>
      <c r="D46" s="46" t="s">
        <v>3</v>
      </c>
      <c r="E46" s="96">
        <v>4.93</v>
      </c>
      <c r="F46" s="96">
        <v>20</v>
      </c>
      <c r="G46" s="96">
        <f>((E46+E44)/2)*F46</f>
        <v>92.199999999999989</v>
      </c>
      <c r="H46" s="91">
        <f>0.35+0.16</f>
        <v>0.51</v>
      </c>
      <c r="I46" s="91">
        <v>20</v>
      </c>
      <c r="J46" s="91">
        <f>((H46+H44)/2)*I46</f>
        <v>7.7</v>
      </c>
    </row>
    <row r="47" spans="1:12" x14ac:dyDescent="0.2">
      <c r="A47" s="257"/>
      <c r="B47" s="47"/>
      <c r="C47" s="47"/>
      <c r="D47" s="46"/>
      <c r="E47" s="96"/>
      <c r="F47" s="96"/>
      <c r="G47" s="96"/>
      <c r="H47" s="91"/>
      <c r="I47" s="91"/>
      <c r="J47" s="91"/>
    </row>
    <row r="48" spans="1:12" x14ac:dyDescent="0.2">
      <c r="A48" s="257"/>
      <c r="B48" s="47" t="s">
        <v>42</v>
      </c>
      <c r="C48" s="48" t="s">
        <v>94</v>
      </c>
      <c r="D48" s="46" t="s">
        <v>3</v>
      </c>
      <c r="E48" s="96">
        <v>4.72</v>
      </c>
      <c r="F48" s="96">
        <v>20</v>
      </c>
      <c r="G48" s="96">
        <f>((E48+E46)/2)*F48</f>
        <v>96.499999999999986</v>
      </c>
      <c r="H48" s="91">
        <f>0.2+0.16</f>
        <v>0.36</v>
      </c>
      <c r="I48" s="91">
        <v>20</v>
      </c>
      <c r="J48" s="91">
        <f>((H48+H46)/2)*I48</f>
        <v>8.6999999999999993</v>
      </c>
    </row>
    <row r="49" spans="1:11" x14ac:dyDescent="0.2">
      <c r="A49" s="257"/>
      <c r="B49" s="47"/>
      <c r="C49" s="47"/>
      <c r="D49" s="46"/>
      <c r="E49" s="96"/>
      <c r="F49" s="96"/>
      <c r="G49" s="96"/>
      <c r="H49" s="91"/>
      <c r="I49" s="91"/>
      <c r="J49" s="91"/>
    </row>
    <row r="50" spans="1:11" x14ac:dyDescent="0.2">
      <c r="A50" s="257"/>
      <c r="B50" s="47" t="s">
        <v>114</v>
      </c>
      <c r="C50" s="48" t="s">
        <v>95</v>
      </c>
      <c r="D50" s="46" t="s">
        <v>3</v>
      </c>
      <c r="E50" s="96">
        <v>4.5199999999999996</v>
      </c>
      <c r="F50" s="96">
        <v>20</v>
      </c>
      <c r="G50" s="96">
        <f>((E50+E48)/2)*F50</f>
        <v>92.399999999999977</v>
      </c>
      <c r="H50" s="91">
        <f>0.4+0.14</f>
        <v>0.54</v>
      </c>
      <c r="I50" s="91">
        <v>20</v>
      </c>
      <c r="J50" s="91">
        <f>((H50+H48)/2)*I50</f>
        <v>9</v>
      </c>
    </row>
    <row r="51" spans="1:11" x14ac:dyDescent="0.2">
      <c r="A51" s="257"/>
      <c r="B51" s="47"/>
      <c r="C51" s="47"/>
      <c r="D51" s="46"/>
      <c r="E51" s="96"/>
      <c r="F51" s="96"/>
      <c r="G51" s="96"/>
      <c r="H51" s="91"/>
      <c r="I51" s="91"/>
      <c r="J51" s="91"/>
    </row>
    <row r="52" spans="1:11" x14ac:dyDescent="0.2">
      <c r="A52" s="257"/>
      <c r="B52" s="47" t="s">
        <v>115</v>
      </c>
      <c r="C52" s="48" t="s">
        <v>96</v>
      </c>
      <c r="D52" s="46" t="s">
        <v>3</v>
      </c>
      <c r="E52" s="96">
        <v>5.29</v>
      </c>
      <c r="F52" s="96">
        <v>20</v>
      </c>
      <c r="G52" s="96">
        <f>((E52+E50)/2)*F52</f>
        <v>98.1</v>
      </c>
      <c r="H52" s="91">
        <f>0.74+0.17</f>
        <v>0.91</v>
      </c>
      <c r="I52" s="91">
        <v>20</v>
      </c>
      <c r="J52" s="91">
        <f>((H52+H50)/2)*I52</f>
        <v>14.500000000000002</v>
      </c>
    </row>
    <row r="53" spans="1:11" x14ac:dyDescent="0.2">
      <c r="A53" s="257"/>
      <c r="B53" s="47"/>
      <c r="C53" s="47"/>
      <c r="D53" s="46"/>
      <c r="E53" s="96"/>
      <c r="F53" s="96"/>
      <c r="G53" s="96"/>
      <c r="H53" s="91"/>
      <c r="I53" s="91"/>
      <c r="J53" s="91"/>
    </row>
    <row r="54" spans="1:11" x14ac:dyDescent="0.2">
      <c r="A54" s="257"/>
      <c r="B54" s="47" t="s">
        <v>116</v>
      </c>
      <c r="C54" s="48" t="s">
        <v>97</v>
      </c>
      <c r="D54" s="46" t="s">
        <v>3</v>
      </c>
      <c r="E54" s="96">
        <v>5.17</v>
      </c>
      <c r="F54" s="96">
        <v>20</v>
      </c>
      <c r="G54" s="96">
        <f>((E54+E52)/2)*F54</f>
        <v>104.60000000000001</v>
      </c>
      <c r="H54" s="91">
        <f>0.7+0.17</f>
        <v>0.87</v>
      </c>
      <c r="I54" s="91">
        <v>20</v>
      </c>
      <c r="J54" s="91">
        <f>((H54+H52)/2)*I54</f>
        <v>17.8</v>
      </c>
    </row>
    <row r="55" spans="1:11" x14ac:dyDescent="0.2">
      <c r="A55" s="257"/>
      <c r="B55" s="47"/>
      <c r="C55" s="47"/>
      <c r="D55" s="46"/>
      <c r="E55" s="96"/>
      <c r="F55" s="96"/>
      <c r="G55" s="96"/>
      <c r="H55" s="91"/>
      <c r="I55" s="91"/>
      <c r="J55" s="91"/>
    </row>
    <row r="56" spans="1:11" x14ac:dyDescent="0.2">
      <c r="A56" s="257"/>
      <c r="B56" s="47" t="s">
        <v>117</v>
      </c>
      <c r="C56" s="48" t="s">
        <v>98</v>
      </c>
      <c r="D56" s="46" t="s">
        <v>3</v>
      </c>
      <c r="E56" s="96">
        <v>3.94</v>
      </c>
      <c r="F56" s="96">
        <v>20</v>
      </c>
      <c r="G56" s="96">
        <f>((E56+E54)/2)*F56</f>
        <v>91.1</v>
      </c>
      <c r="H56" s="91">
        <f>0.05+0.12</f>
        <v>0.16999999999999998</v>
      </c>
      <c r="I56" s="91">
        <v>20</v>
      </c>
      <c r="J56" s="91">
        <f>((H56+H54)/2)*I56</f>
        <v>10.4</v>
      </c>
    </row>
    <row r="57" spans="1:11" x14ac:dyDescent="0.2">
      <c r="A57" s="257"/>
      <c r="B57" s="47"/>
      <c r="C57" s="40"/>
      <c r="D57" s="41"/>
      <c r="E57" s="95"/>
      <c r="F57" s="96"/>
      <c r="G57" s="95"/>
      <c r="H57" s="90"/>
      <c r="I57" s="91"/>
      <c r="J57" s="90"/>
    </row>
    <row r="58" spans="1:11" x14ac:dyDescent="0.2">
      <c r="A58" s="257"/>
      <c r="B58" s="47" t="s">
        <v>118</v>
      </c>
      <c r="C58" s="48" t="s">
        <v>99</v>
      </c>
      <c r="D58" s="46" t="s">
        <v>3</v>
      </c>
      <c r="E58" s="96">
        <v>4.24</v>
      </c>
      <c r="F58" s="96">
        <v>20</v>
      </c>
      <c r="G58" s="96">
        <f>((E58+E56)/2)*F58</f>
        <v>81.8</v>
      </c>
      <c r="H58" s="91">
        <f>0.13+0.1</f>
        <v>0.23</v>
      </c>
      <c r="I58" s="91">
        <v>20</v>
      </c>
      <c r="J58" s="91">
        <f>((H58+H56)/2)*I58</f>
        <v>4</v>
      </c>
    </row>
    <row r="59" spans="1:11" x14ac:dyDescent="0.2">
      <c r="A59" s="257"/>
      <c r="B59" s="47"/>
      <c r="C59" s="47"/>
      <c r="D59" s="46"/>
      <c r="E59" s="96"/>
      <c r="F59" s="96"/>
      <c r="G59" s="96"/>
      <c r="H59" s="91"/>
      <c r="I59" s="91"/>
      <c r="J59" s="91"/>
    </row>
    <row r="60" spans="1:11" x14ac:dyDescent="0.2">
      <c r="A60" s="257"/>
      <c r="B60" s="47" t="s">
        <v>119</v>
      </c>
      <c r="C60" s="48" t="s">
        <v>100</v>
      </c>
      <c r="D60" s="46" t="s">
        <v>3</v>
      </c>
      <c r="E60" s="96">
        <v>4.55</v>
      </c>
      <c r="F60" s="96">
        <v>20</v>
      </c>
      <c r="G60" s="96">
        <f>((E60+E58)/2)*F60</f>
        <v>87.899999999999991</v>
      </c>
      <c r="H60" s="91">
        <f>0.34+0.1</f>
        <v>0.44000000000000006</v>
      </c>
      <c r="I60" s="91">
        <v>20</v>
      </c>
      <c r="J60" s="91">
        <f>((H60+H58)/2)*I60</f>
        <v>6.7</v>
      </c>
    </row>
    <row r="61" spans="1:11" x14ac:dyDescent="0.2">
      <c r="A61" s="257"/>
      <c r="B61" s="47"/>
      <c r="C61" s="47"/>
      <c r="D61" s="46"/>
      <c r="E61" s="96"/>
      <c r="F61" s="96"/>
      <c r="G61" s="96"/>
      <c r="H61" s="91"/>
      <c r="I61" s="91"/>
      <c r="J61" s="91"/>
    </row>
    <row r="62" spans="1:11" x14ac:dyDescent="0.2">
      <c r="A62" s="257"/>
      <c r="B62" s="47" t="s">
        <v>120</v>
      </c>
      <c r="C62" s="48" t="s">
        <v>101</v>
      </c>
      <c r="D62" s="46" t="s">
        <v>3</v>
      </c>
      <c r="E62" s="96">
        <v>4.0999999999999996</v>
      </c>
      <c r="F62" s="96">
        <v>20</v>
      </c>
      <c r="G62" s="96">
        <f>((E62+E60)/2)*F62</f>
        <v>86.499999999999986</v>
      </c>
      <c r="H62" s="91">
        <f>0.05+0.1</f>
        <v>0.15000000000000002</v>
      </c>
      <c r="I62" s="91">
        <v>20</v>
      </c>
      <c r="J62" s="91">
        <f>((H62+H60)/2)*I62</f>
        <v>5.9</v>
      </c>
    </row>
    <row r="63" spans="1:11" x14ac:dyDescent="0.2">
      <c r="A63" s="257"/>
      <c r="B63" s="47"/>
      <c r="C63" s="47"/>
      <c r="D63" s="46"/>
      <c r="E63" s="96"/>
      <c r="F63" s="96"/>
      <c r="G63" s="96"/>
      <c r="H63" s="91"/>
      <c r="I63" s="91"/>
      <c r="J63" s="91"/>
      <c r="K63" s="49"/>
    </row>
    <row r="64" spans="1:11" x14ac:dyDescent="0.2">
      <c r="A64" s="257"/>
      <c r="B64" s="47" t="s">
        <v>121</v>
      </c>
      <c r="C64" s="48" t="s">
        <v>102</v>
      </c>
      <c r="D64" s="46" t="s">
        <v>3</v>
      </c>
      <c r="E64" s="96">
        <v>3.66</v>
      </c>
      <c r="F64" s="96">
        <v>20</v>
      </c>
      <c r="G64" s="96">
        <f>((E64+E62)/2)*F64</f>
        <v>77.599999999999994</v>
      </c>
      <c r="H64" s="91">
        <f>0.05+0.1</f>
        <v>0.15000000000000002</v>
      </c>
      <c r="I64" s="91">
        <v>20</v>
      </c>
      <c r="J64" s="91">
        <f>((H64+H62)/2)*I64</f>
        <v>3.0000000000000004</v>
      </c>
      <c r="K64" s="49"/>
    </row>
    <row r="65" spans="1:11" x14ac:dyDescent="0.2">
      <c r="A65" s="257"/>
      <c r="B65" s="47"/>
      <c r="C65" s="47"/>
      <c r="D65" s="46"/>
      <c r="E65" s="96"/>
      <c r="F65" s="96"/>
      <c r="G65" s="96"/>
      <c r="H65" s="91"/>
      <c r="I65" s="91"/>
      <c r="J65" s="91"/>
      <c r="K65" s="49"/>
    </row>
    <row r="66" spans="1:11" ht="25.5" x14ac:dyDescent="0.2">
      <c r="A66" s="258"/>
      <c r="B66" s="98" t="s">
        <v>122</v>
      </c>
      <c r="C66" s="99" t="s">
        <v>192</v>
      </c>
      <c r="D66" s="100" t="s">
        <v>3</v>
      </c>
      <c r="E66" s="101">
        <f>E69</f>
        <v>5.27</v>
      </c>
      <c r="F66" s="101">
        <v>13.3</v>
      </c>
      <c r="G66" s="101">
        <f>((E66+E64)/2)*F66</f>
        <v>59.384500000000003</v>
      </c>
      <c r="H66" s="102">
        <f>0.05+0.55</f>
        <v>0.60000000000000009</v>
      </c>
      <c r="I66" s="102">
        <v>13.3</v>
      </c>
      <c r="J66" s="102">
        <f>((H66+H64)/2)*I66</f>
        <v>4.9875000000000007</v>
      </c>
      <c r="K66" s="49"/>
    </row>
    <row r="67" spans="1:11" x14ac:dyDescent="0.2">
      <c r="A67" s="114"/>
      <c r="B67" s="115" t="s">
        <v>14</v>
      </c>
      <c r="C67" s="116" t="s">
        <v>196</v>
      </c>
      <c r="D67" s="117" t="s">
        <v>3</v>
      </c>
      <c r="E67" s="118"/>
      <c r="F67" s="118"/>
      <c r="G67" s="118">
        <f>SUM(G26:G66)</f>
        <v>1741.1844999999994</v>
      </c>
      <c r="H67" s="118"/>
      <c r="I67" s="118"/>
      <c r="J67" s="118">
        <f>SUM(J26:J66)</f>
        <v>146.58750000000003</v>
      </c>
      <c r="K67" s="118">
        <f>J67*(1+$N$2)</f>
        <v>175.90500000000003</v>
      </c>
    </row>
    <row r="68" spans="1:11" x14ac:dyDescent="0.2">
      <c r="B68" s="40"/>
      <c r="C68" s="40"/>
      <c r="D68" s="41"/>
      <c r="E68" s="41"/>
      <c r="F68" s="46"/>
      <c r="G68" s="41"/>
      <c r="H68" s="41"/>
      <c r="I68" s="46"/>
      <c r="J68" s="41"/>
      <c r="K68" s="146" t="s">
        <v>224</v>
      </c>
    </row>
    <row r="69" spans="1:11" ht="12.75" hidden="1" customHeight="1" x14ac:dyDescent="0.2">
      <c r="A69" s="259" t="s">
        <v>193</v>
      </c>
      <c r="B69" s="47" t="s">
        <v>123</v>
      </c>
      <c r="C69" s="48" t="s">
        <v>104</v>
      </c>
      <c r="D69" s="46" t="s">
        <v>3</v>
      </c>
      <c r="E69" s="96">
        <v>5.27</v>
      </c>
      <c r="F69" s="96">
        <f>20-F66</f>
        <v>6.6999999999999993</v>
      </c>
      <c r="G69" s="96">
        <f>((E69+E66)/2)*F69</f>
        <v>35.30899999999999</v>
      </c>
      <c r="H69" s="91">
        <f>H66</f>
        <v>0.60000000000000009</v>
      </c>
      <c r="I69" s="91">
        <f>20-I66</f>
        <v>6.6999999999999993</v>
      </c>
      <c r="J69" s="91">
        <f>((H69+H66)/2)*I69</f>
        <v>4.0200000000000005</v>
      </c>
    </row>
    <row r="70" spans="1:11" hidden="1" x14ac:dyDescent="0.2">
      <c r="A70" s="259"/>
      <c r="B70" s="47"/>
      <c r="C70" s="47"/>
      <c r="D70" s="46"/>
      <c r="E70" s="95"/>
      <c r="F70" s="96"/>
      <c r="G70" s="96"/>
      <c r="H70" s="91"/>
      <c r="I70" s="91"/>
      <c r="J70" s="91"/>
    </row>
    <row r="71" spans="1:11" hidden="1" x14ac:dyDescent="0.2">
      <c r="A71" s="259"/>
      <c r="B71" s="47" t="s">
        <v>124</v>
      </c>
      <c r="C71" s="48" t="s">
        <v>105</v>
      </c>
      <c r="D71" s="46" t="s">
        <v>3</v>
      </c>
      <c r="E71" s="96">
        <v>5.2</v>
      </c>
      <c r="F71" s="96">
        <v>20</v>
      </c>
      <c r="G71" s="96">
        <f>((E71+E69)/2)*F71</f>
        <v>104.69999999999999</v>
      </c>
      <c r="H71" s="91">
        <f>0.05+0.12</f>
        <v>0.16999999999999998</v>
      </c>
      <c r="I71" s="91">
        <v>20</v>
      </c>
      <c r="J71" s="91">
        <f>((H71+H69)/2)*I71</f>
        <v>7.7</v>
      </c>
    </row>
    <row r="72" spans="1:11" hidden="1" x14ac:dyDescent="0.2">
      <c r="A72" s="259"/>
      <c r="B72" s="40"/>
      <c r="C72" s="40"/>
      <c r="D72" s="41"/>
      <c r="E72" s="95"/>
      <c r="F72" s="96"/>
      <c r="G72" s="95"/>
      <c r="H72" s="90"/>
      <c r="I72" s="91"/>
      <c r="J72" s="90"/>
    </row>
    <row r="73" spans="1:11" hidden="1" x14ac:dyDescent="0.2">
      <c r="A73" s="259"/>
      <c r="B73" s="47" t="s">
        <v>125</v>
      </c>
      <c r="C73" s="48" t="s">
        <v>106</v>
      </c>
      <c r="D73" s="46" t="s">
        <v>3</v>
      </c>
      <c r="E73" s="96">
        <v>6.21</v>
      </c>
      <c r="F73" s="96">
        <v>20</v>
      </c>
      <c r="G73" s="96">
        <f>((E73+E71)/2)*F73</f>
        <v>114.1</v>
      </c>
      <c r="H73" s="91">
        <f>0.28+0.38</f>
        <v>0.66</v>
      </c>
      <c r="I73" s="91">
        <v>20</v>
      </c>
      <c r="J73" s="91">
        <f>((H73+H71)/2)*I73</f>
        <v>8.3000000000000007</v>
      </c>
    </row>
    <row r="74" spans="1:11" hidden="1" x14ac:dyDescent="0.2">
      <c r="A74" s="259"/>
      <c r="B74" s="47"/>
      <c r="C74" s="49"/>
      <c r="D74" s="46"/>
      <c r="E74" s="96"/>
      <c r="F74" s="96"/>
      <c r="G74" s="96"/>
      <c r="H74" s="91"/>
      <c r="I74" s="91"/>
      <c r="J74" s="91"/>
    </row>
    <row r="75" spans="1:11" hidden="1" x14ac:dyDescent="0.2">
      <c r="A75" s="259"/>
      <c r="B75" s="47" t="s">
        <v>126</v>
      </c>
      <c r="C75" s="48" t="s">
        <v>107</v>
      </c>
      <c r="D75" s="46" t="s">
        <v>3</v>
      </c>
      <c r="E75" s="96">
        <v>6.1</v>
      </c>
      <c r="F75" s="96">
        <v>20</v>
      </c>
      <c r="G75" s="96">
        <f>((E75+E73)/2)*F75</f>
        <v>123.1</v>
      </c>
      <c r="H75" s="91">
        <f>0.23+0.65</f>
        <v>0.88</v>
      </c>
      <c r="I75" s="91">
        <v>20</v>
      </c>
      <c r="J75" s="91">
        <f>((H75+H73)/2)*I75</f>
        <v>15.4</v>
      </c>
    </row>
    <row r="76" spans="1:11" hidden="1" x14ac:dyDescent="0.2">
      <c r="A76" s="259"/>
      <c r="B76" s="40"/>
      <c r="C76" s="40"/>
      <c r="D76" s="41"/>
      <c r="E76" s="95"/>
      <c r="F76" s="96"/>
      <c r="G76" s="95"/>
      <c r="H76" s="90"/>
      <c r="I76" s="91"/>
      <c r="J76" s="90"/>
    </row>
    <row r="77" spans="1:11" hidden="1" x14ac:dyDescent="0.2">
      <c r="A77" s="259"/>
      <c r="B77" s="47" t="s">
        <v>127</v>
      </c>
      <c r="C77" s="48" t="s">
        <v>108</v>
      </c>
      <c r="D77" s="46" t="s">
        <v>3</v>
      </c>
      <c r="E77" s="96">
        <v>3</v>
      </c>
      <c r="F77" s="96">
        <v>20</v>
      </c>
      <c r="G77" s="96">
        <f>((E77+E75)/2)*F77</f>
        <v>91</v>
      </c>
      <c r="H77" s="91">
        <f>0.83+2.09</f>
        <v>2.92</v>
      </c>
      <c r="I77" s="91">
        <v>20</v>
      </c>
      <c r="J77" s="91">
        <f>((H77+H75)/2)*I77</f>
        <v>38</v>
      </c>
    </row>
    <row r="78" spans="1:11" hidden="1" x14ac:dyDescent="0.2">
      <c r="A78" s="259"/>
      <c r="B78" s="40"/>
      <c r="C78" s="40"/>
      <c r="D78" s="41"/>
      <c r="E78" s="95"/>
      <c r="F78" s="96"/>
      <c r="G78" s="95"/>
      <c r="H78" s="90"/>
      <c r="I78" s="91"/>
      <c r="J78" s="90"/>
    </row>
    <row r="79" spans="1:11" hidden="1" x14ac:dyDescent="0.2">
      <c r="A79" s="259"/>
      <c r="B79" s="47" t="s">
        <v>128</v>
      </c>
      <c r="C79" s="48" t="s">
        <v>109</v>
      </c>
      <c r="D79" s="46" t="s">
        <v>3</v>
      </c>
      <c r="E79" s="96">
        <v>1.54</v>
      </c>
      <c r="F79" s="96">
        <v>20</v>
      </c>
      <c r="G79" s="96">
        <f>((E79+E77)/2)*F79</f>
        <v>45.4</v>
      </c>
      <c r="H79" s="91">
        <f>1.53+3.42</f>
        <v>4.95</v>
      </c>
      <c r="I79" s="91">
        <v>20</v>
      </c>
      <c r="J79" s="91">
        <f>((H79+H77)/2)*I79</f>
        <v>78.7</v>
      </c>
    </row>
    <row r="80" spans="1:11" hidden="1" x14ac:dyDescent="0.2">
      <c r="A80" s="259"/>
      <c r="B80" s="40"/>
      <c r="C80" s="40"/>
      <c r="D80" s="41"/>
      <c r="E80" s="95"/>
      <c r="F80" s="96"/>
      <c r="G80" s="95"/>
      <c r="H80" s="90"/>
      <c r="I80" s="91"/>
      <c r="J80" s="90"/>
    </row>
    <row r="81" spans="1:12" hidden="1" x14ac:dyDescent="0.2">
      <c r="A81" s="259"/>
      <c r="B81" s="47" t="s">
        <v>129</v>
      </c>
      <c r="C81" s="48" t="s">
        <v>111</v>
      </c>
      <c r="D81" s="46" t="s">
        <v>3</v>
      </c>
      <c r="E81" s="96">
        <v>5.72</v>
      </c>
      <c r="F81" s="96">
        <v>20</v>
      </c>
      <c r="G81" s="96">
        <f>((E81+E79)/2)*F81</f>
        <v>72.599999999999994</v>
      </c>
      <c r="H81" s="91">
        <f>0.81+0.5</f>
        <v>1.31</v>
      </c>
      <c r="I81" s="91">
        <v>20</v>
      </c>
      <c r="J81" s="91">
        <f>((H81+H79)/2)*I81</f>
        <v>62.599999999999994</v>
      </c>
    </row>
    <row r="82" spans="1:12" hidden="1" x14ac:dyDescent="0.2">
      <c r="A82" s="259"/>
      <c r="B82" s="40"/>
      <c r="C82" s="40"/>
      <c r="D82" s="41"/>
      <c r="E82" s="95"/>
      <c r="F82" s="96"/>
      <c r="G82" s="95"/>
      <c r="H82" s="90"/>
      <c r="I82" s="91"/>
      <c r="J82" s="90"/>
    </row>
    <row r="83" spans="1:12" hidden="1" x14ac:dyDescent="0.2">
      <c r="A83" s="259"/>
      <c r="B83" s="47" t="s">
        <v>130</v>
      </c>
      <c r="C83" s="48" t="s">
        <v>112</v>
      </c>
      <c r="D83" s="46" t="s">
        <v>3</v>
      </c>
      <c r="E83" s="96">
        <v>31.18</v>
      </c>
      <c r="F83" s="96">
        <v>20</v>
      </c>
      <c r="G83" s="96">
        <f>((E83+E81)/2)*F83</f>
        <v>369</v>
      </c>
      <c r="H83" s="91">
        <v>0</v>
      </c>
      <c r="I83" s="91">
        <v>20</v>
      </c>
      <c r="J83" s="91">
        <f>((H83+H81)/2)*I83</f>
        <v>13.100000000000001</v>
      </c>
    </row>
    <row r="84" spans="1:12" hidden="1" x14ac:dyDescent="0.2">
      <c r="A84" s="259"/>
      <c r="B84" s="40"/>
      <c r="C84" s="40"/>
      <c r="D84" s="41"/>
      <c r="E84" s="95"/>
      <c r="F84" s="96"/>
      <c r="G84" s="95"/>
      <c r="H84" s="90"/>
      <c r="I84" s="91"/>
      <c r="J84" s="90"/>
    </row>
    <row r="85" spans="1:12" hidden="1" x14ac:dyDescent="0.2">
      <c r="A85" s="259"/>
      <c r="B85" s="47" t="s">
        <v>131</v>
      </c>
      <c r="C85" s="48" t="s">
        <v>113</v>
      </c>
      <c r="D85" s="46" t="s">
        <v>3</v>
      </c>
      <c r="E85" s="96">
        <v>14.92</v>
      </c>
      <c r="F85" s="96">
        <v>20</v>
      </c>
      <c r="G85" s="96">
        <f>((E85+E83)/2)*F85</f>
        <v>461</v>
      </c>
      <c r="H85" s="113">
        <v>0.34</v>
      </c>
      <c r="I85" s="91">
        <v>20</v>
      </c>
      <c r="J85" s="91">
        <f>((H85+H83)/2)*I85</f>
        <v>3.4000000000000004</v>
      </c>
      <c r="L85" s="129"/>
    </row>
    <row r="86" spans="1:12" hidden="1" x14ac:dyDescent="0.2">
      <c r="A86" s="259"/>
      <c r="B86" s="40"/>
      <c r="C86" s="40"/>
      <c r="D86" s="41"/>
      <c r="E86" s="95"/>
      <c r="F86" s="95"/>
      <c r="G86" s="95"/>
      <c r="H86" s="90"/>
      <c r="I86" s="90"/>
      <c r="J86" s="90"/>
    </row>
    <row r="87" spans="1:12" hidden="1" x14ac:dyDescent="0.2">
      <c r="A87" s="259"/>
      <c r="B87" s="47" t="s">
        <v>132</v>
      </c>
      <c r="C87" s="48" t="s">
        <v>160</v>
      </c>
      <c r="D87" s="46" t="s">
        <v>3</v>
      </c>
      <c r="E87" s="96">
        <v>8.31</v>
      </c>
      <c r="F87" s="96">
        <v>20</v>
      </c>
      <c r="G87" s="96">
        <f>((E87+E85)/2)*F87</f>
        <v>232.3</v>
      </c>
      <c r="H87" s="113">
        <v>1.43</v>
      </c>
      <c r="I87" s="91">
        <v>20</v>
      </c>
      <c r="J87" s="91">
        <f>((H87+H85)/2)*I87</f>
        <v>17.7</v>
      </c>
    </row>
    <row r="88" spans="1:12" hidden="1" x14ac:dyDescent="0.2">
      <c r="A88" s="259"/>
      <c r="B88" s="47"/>
      <c r="C88" s="47"/>
      <c r="D88" s="46"/>
      <c r="E88" s="96"/>
      <c r="F88" s="96"/>
      <c r="G88" s="96"/>
      <c r="H88" s="91"/>
      <c r="I88" s="91"/>
      <c r="J88" s="91"/>
    </row>
    <row r="89" spans="1:12" hidden="1" x14ac:dyDescent="0.2">
      <c r="A89" s="259"/>
      <c r="B89" s="47" t="s">
        <v>133</v>
      </c>
      <c r="C89" s="48" t="s">
        <v>161</v>
      </c>
      <c r="D89" s="46" t="s">
        <v>3</v>
      </c>
      <c r="E89" s="96">
        <v>18.239999999999998</v>
      </c>
      <c r="F89" s="96">
        <v>20</v>
      </c>
      <c r="G89" s="96">
        <f>((E89+E87)/2)*F89</f>
        <v>265.5</v>
      </c>
      <c r="H89" s="91">
        <v>0</v>
      </c>
      <c r="I89" s="91">
        <v>20</v>
      </c>
      <c r="J89" s="91">
        <f>((H89+H87)/2)*I89</f>
        <v>14.299999999999999</v>
      </c>
    </row>
    <row r="90" spans="1:12" hidden="1" x14ac:dyDescent="0.2">
      <c r="A90" s="259"/>
      <c r="B90" s="47"/>
      <c r="C90" s="47"/>
      <c r="D90" s="46"/>
      <c r="E90" s="96"/>
      <c r="F90" s="95"/>
      <c r="G90" s="96"/>
      <c r="H90" s="91"/>
      <c r="I90" s="90"/>
      <c r="J90" s="91"/>
    </row>
    <row r="91" spans="1:12" hidden="1" x14ac:dyDescent="0.2">
      <c r="A91" s="259"/>
      <c r="B91" s="47" t="s">
        <v>134</v>
      </c>
      <c r="C91" s="48" t="s">
        <v>162</v>
      </c>
      <c r="D91" s="46" t="s">
        <v>3</v>
      </c>
      <c r="E91" s="96">
        <v>33.630000000000003</v>
      </c>
      <c r="F91" s="96">
        <v>20</v>
      </c>
      <c r="G91" s="96">
        <f>((E91+E89)/2)*F91</f>
        <v>518.70000000000005</v>
      </c>
      <c r="H91" s="91">
        <v>0</v>
      </c>
      <c r="I91" s="91">
        <v>20</v>
      </c>
      <c r="J91" s="91">
        <f>((H91+H89)/2)*I91</f>
        <v>0</v>
      </c>
    </row>
    <row r="92" spans="1:12" hidden="1" x14ac:dyDescent="0.2">
      <c r="A92" s="259"/>
      <c r="B92" s="47"/>
      <c r="C92" s="47"/>
      <c r="D92" s="46"/>
      <c r="E92" s="96"/>
      <c r="F92" s="95"/>
      <c r="G92" s="96"/>
      <c r="H92" s="91"/>
      <c r="I92" s="91"/>
      <c r="J92" s="91"/>
    </row>
    <row r="93" spans="1:12" hidden="1" x14ac:dyDescent="0.2">
      <c r="A93" s="260"/>
      <c r="B93" s="98" t="s">
        <v>135</v>
      </c>
      <c r="C93" s="99" t="s">
        <v>163</v>
      </c>
      <c r="D93" s="100" t="s">
        <v>3</v>
      </c>
      <c r="E93" s="101">
        <v>18.53</v>
      </c>
      <c r="F93" s="101">
        <v>20</v>
      </c>
      <c r="G93" s="101">
        <f>((E93+E91)/2)*F93</f>
        <v>521.6</v>
      </c>
      <c r="H93" s="102">
        <f>0.3+0.9</f>
        <v>1.2</v>
      </c>
      <c r="I93" s="102">
        <v>20</v>
      </c>
      <c r="J93" s="102">
        <f>((H93+H91)/2)*I93</f>
        <v>12</v>
      </c>
    </row>
    <row r="94" spans="1:12" hidden="1" x14ac:dyDescent="0.2">
      <c r="A94" s="119"/>
      <c r="B94" s="120" t="s">
        <v>14</v>
      </c>
      <c r="C94" s="121" t="s">
        <v>195</v>
      </c>
      <c r="D94" s="122" t="s">
        <v>3</v>
      </c>
      <c r="E94" s="123"/>
      <c r="F94" s="123"/>
      <c r="G94" s="123">
        <f>SUM(G69:G93)</f>
        <v>2954.3089999999997</v>
      </c>
      <c r="H94" s="123"/>
      <c r="I94" s="123"/>
      <c r="J94" s="123">
        <f>SUM(J69:J93)</f>
        <v>275.21999999999997</v>
      </c>
    </row>
    <row r="95" spans="1:12" hidden="1" x14ac:dyDescent="0.2">
      <c r="B95" s="47"/>
      <c r="C95" s="47"/>
      <c r="D95" s="46"/>
      <c r="E95" s="46"/>
      <c r="F95" s="46"/>
      <c r="G95" s="46"/>
      <c r="H95" s="46"/>
      <c r="I95" s="46"/>
      <c r="J95" s="46"/>
    </row>
    <row r="96" spans="1:12" ht="12.75" hidden="1" customHeight="1" x14ac:dyDescent="0.2">
      <c r="A96" s="252" t="s">
        <v>197</v>
      </c>
      <c r="B96" s="47" t="s">
        <v>136</v>
      </c>
      <c r="C96" s="48" t="s">
        <v>82</v>
      </c>
      <c r="D96" s="46" t="s">
        <v>3</v>
      </c>
      <c r="E96" s="96">
        <v>3</v>
      </c>
      <c r="F96" s="96">
        <v>20</v>
      </c>
      <c r="G96" s="96">
        <f>((E96+E93)/2)*F96</f>
        <v>215.3</v>
      </c>
      <c r="H96" s="91">
        <f>0.27+0.12</f>
        <v>0.39</v>
      </c>
      <c r="I96" s="91">
        <v>20</v>
      </c>
      <c r="J96" s="91">
        <f>((H96+H93)/2)*I96</f>
        <v>15.899999999999999</v>
      </c>
    </row>
    <row r="97" spans="1:10" hidden="1" x14ac:dyDescent="0.2">
      <c r="A97" s="252"/>
      <c r="B97" s="47"/>
      <c r="C97" s="47"/>
      <c r="D97" s="46"/>
      <c r="E97" s="96"/>
      <c r="F97" s="95"/>
      <c r="G97" s="96"/>
      <c r="H97" s="91"/>
      <c r="I97" s="91"/>
      <c r="J97" s="91"/>
    </row>
    <row r="98" spans="1:10" hidden="1" x14ac:dyDescent="0.2">
      <c r="A98" s="252"/>
      <c r="B98" s="47" t="s">
        <v>137</v>
      </c>
      <c r="C98" s="48" t="s">
        <v>83</v>
      </c>
      <c r="D98" s="46" t="s">
        <v>3</v>
      </c>
      <c r="E98" s="96">
        <v>1.95</v>
      </c>
      <c r="F98" s="96">
        <v>20</v>
      </c>
      <c r="G98" s="96">
        <f>((E98+E96)/2)*F98</f>
        <v>49.5</v>
      </c>
      <c r="H98" s="91">
        <f>0.18+0.11</f>
        <v>0.28999999999999998</v>
      </c>
      <c r="I98" s="91">
        <v>20</v>
      </c>
      <c r="J98" s="91">
        <f>((H98+H96)/2)*I98</f>
        <v>6.7999999999999989</v>
      </c>
    </row>
    <row r="99" spans="1:10" hidden="1" x14ac:dyDescent="0.2">
      <c r="A99" s="252"/>
      <c r="B99" s="47"/>
      <c r="C99" s="47"/>
      <c r="D99" s="46"/>
      <c r="E99" s="96"/>
      <c r="F99" s="96"/>
      <c r="G99" s="96"/>
      <c r="H99" s="91"/>
      <c r="I99" s="91"/>
      <c r="J99" s="91"/>
    </row>
    <row r="100" spans="1:10" hidden="1" x14ac:dyDescent="0.2">
      <c r="A100" s="252"/>
      <c r="B100" s="47" t="s">
        <v>138</v>
      </c>
      <c r="C100" s="48" t="s">
        <v>84</v>
      </c>
      <c r="D100" s="46" t="s">
        <v>3</v>
      </c>
      <c r="E100" s="96">
        <v>2.16</v>
      </c>
      <c r="F100" s="96">
        <v>20</v>
      </c>
      <c r="G100" s="96">
        <f>((E100+E98)/2)*F100</f>
        <v>41.1</v>
      </c>
      <c r="H100" s="91">
        <f>0.17+0.11</f>
        <v>0.28000000000000003</v>
      </c>
      <c r="I100" s="91">
        <v>20</v>
      </c>
      <c r="J100" s="91">
        <f>((H100+H98)/2)*I100</f>
        <v>5.7000000000000011</v>
      </c>
    </row>
    <row r="101" spans="1:10" hidden="1" x14ac:dyDescent="0.2">
      <c r="A101" s="252"/>
      <c r="B101" s="47"/>
      <c r="C101" s="47"/>
      <c r="D101" s="46"/>
      <c r="E101" s="96"/>
      <c r="F101" s="95"/>
      <c r="G101" s="96"/>
      <c r="H101" s="91"/>
      <c r="I101" s="91"/>
      <c r="J101" s="91"/>
    </row>
    <row r="102" spans="1:10" hidden="1" x14ac:dyDescent="0.2">
      <c r="A102" s="252"/>
      <c r="B102" s="47" t="s">
        <v>139</v>
      </c>
      <c r="C102" s="48" t="s">
        <v>85</v>
      </c>
      <c r="D102" s="46" t="s">
        <v>3</v>
      </c>
      <c r="E102" s="96">
        <v>3.16</v>
      </c>
      <c r="F102" s="96">
        <v>20</v>
      </c>
      <c r="G102" s="96">
        <f>((E102+E100)/2)*F102</f>
        <v>53.2</v>
      </c>
      <c r="H102" s="91">
        <f>0.3+0.1</f>
        <v>0.4</v>
      </c>
      <c r="I102" s="91">
        <v>20</v>
      </c>
      <c r="J102" s="91">
        <f>((H102+H100)/2)*I102</f>
        <v>6.8000000000000007</v>
      </c>
    </row>
    <row r="103" spans="1:10" hidden="1" x14ac:dyDescent="0.2">
      <c r="A103" s="252"/>
      <c r="B103" s="47"/>
      <c r="C103" s="47"/>
      <c r="D103" s="46"/>
      <c r="E103" s="96"/>
      <c r="F103" s="96"/>
      <c r="G103" s="96"/>
      <c r="H103" s="91"/>
      <c r="I103" s="91"/>
      <c r="J103" s="91"/>
    </row>
    <row r="104" spans="1:10" hidden="1" x14ac:dyDescent="0.2">
      <c r="A104" s="252"/>
      <c r="B104" s="47" t="s">
        <v>164</v>
      </c>
      <c r="C104" s="48" t="s">
        <v>86</v>
      </c>
      <c r="D104" s="46" t="s">
        <v>3</v>
      </c>
      <c r="E104" s="96">
        <v>3.18</v>
      </c>
      <c r="F104" s="96">
        <v>20</v>
      </c>
      <c r="G104" s="96">
        <f>((E104+E102)/2)*F104</f>
        <v>63.4</v>
      </c>
      <c r="H104" s="91">
        <f>0.33+0.12</f>
        <v>0.45</v>
      </c>
      <c r="I104" s="91">
        <v>20</v>
      </c>
      <c r="J104" s="91">
        <f>((H104+H102)/2)*I104</f>
        <v>8.5</v>
      </c>
    </row>
    <row r="105" spans="1:10" hidden="1" x14ac:dyDescent="0.2">
      <c r="A105" s="252"/>
      <c r="B105" s="47"/>
      <c r="C105" s="47"/>
      <c r="D105" s="46"/>
      <c r="E105" s="96"/>
      <c r="F105" s="95"/>
      <c r="G105" s="96"/>
      <c r="H105" s="91"/>
      <c r="I105" s="91"/>
      <c r="J105" s="91"/>
    </row>
    <row r="106" spans="1:10" hidden="1" x14ac:dyDescent="0.2">
      <c r="A106" s="252"/>
      <c r="B106" s="47" t="s">
        <v>165</v>
      </c>
      <c r="C106" s="48" t="s">
        <v>87</v>
      </c>
      <c r="D106" s="46" t="s">
        <v>3</v>
      </c>
      <c r="E106" s="96">
        <v>3.36</v>
      </c>
      <c r="F106" s="96">
        <v>20</v>
      </c>
      <c r="G106" s="96">
        <f>((E106+E104)/2)*F106</f>
        <v>65.400000000000006</v>
      </c>
      <c r="H106" s="91">
        <f>0.4+0.1</f>
        <v>0.5</v>
      </c>
      <c r="I106" s="91">
        <v>20</v>
      </c>
      <c r="J106" s="91">
        <f>((H106+H104)/2)*I106</f>
        <v>9.5</v>
      </c>
    </row>
    <row r="107" spans="1:10" hidden="1" x14ac:dyDescent="0.2">
      <c r="A107" s="252"/>
      <c r="B107" s="47"/>
      <c r="C107" s="47"/>
      <c r="D107" s="46"/>
      <c r="E107" s="96"/>
      <c r="F107" s="96"/>
      <c r="G107" s="96"/>
      <c r="H107" s="91"/>
      <c r="I107" s="91"/>
      <c r="J107" s="91"/>
    </row>
    <row r="108" spans="1:10" hidden="1" x14ac:dyDescent="0.2">
      <c r="A108" s="252"/>
      <c r="B108" s="47" t="s">
        <v>166</v>
      </c>
      <c r="C108" s="48" t="s">
        <v>88</v>
      </c>
      <c r="D108" s="46" t="s">
        <v>3</v>
      </c>
      <c r="E108" s="96">
        <v>3.27</v>
      </c>
      <c r="F108" s="96">
        <v>20</v>
      </c>
      <c r="G108" s="96">
        <f>((E108+E106)/2)*F108</f>
        <v>66.3</v>
      </c>
      <c r="H108" s="91">
        <f>0.32+0.09</f>
        <v>0.41000000000000003</v>
      </c>
      <c r="I108" s="91">
        <v>20</v>
      </c>
      <c r="J108" s="91">
        <f>((H108+H106)/2)*I108</f>
        <v>9.1</v>
      </c>
    </row>
    <row r="109" spans="1:10" hidden="1" x14ac:dyDescent="0.2">
      <c r="A109" s="252"/>
      <c r="B109" s="47"/>
      <c r="C109" s="47"/>
      <c r="D109" s="46"/>
      <c r="E109" s="96"/>
      <c r="F109" s="95"/>
      <c r="G109" s="96"/>
      <c r="H109" s="91"/>
      <c r="I109" s="91"/>
      <c r="J109" s="91"/>
    </row>
    <row r="110" spans="1:10" hidden="1" x14ac:dyDescent="0.2">
      <c r="A110" s="252"/>
      <c r="B110" s="47" t="s">
        <v>167</v>
      </c>
      <c r="C110" s="48" t="s">
        <v>89</v>
      </c>
      <c r="D110" s="46" t="s">
        <v>3</v>
      </c>
      <c r="E110" s="96">
        <v>3.87</v>
      </c>
      <c r="F110" s="96">
        <v>20</v>
      </c>
      <c r="G110" s="96">
        <f>((E110+E108)/2)*F110</f>
        <v>71.400000000000006</v>
      </c>
      <c r="H110" s="91">
        <f>0.35+0.15</f>
        <v>0.5</v>
      </c>
      <c r="I110" s="91">
        <v>20</v>
      </c>
      <c r="J110" s="91">
        <f>((H110+H108)/2)*I110</f>
        <v>9.1</v>
      </c>
    </row>
    <row r="111" spans="1:10" hidden="1" x14ac:dyDescent="0.2">
      <c r="A111" s="252"/>
      <c r="B111" s="47"/>
      <c r="C111" s="47"/>
      <c r="D111" s="46"/>
      <c r="E111" s="96"/>
      <c r="F111" s="96"/>
      <c r="G111" s="96"/>
      <c r="H111" s="91"/>
      <c r="I111" s="91"/>
      <c r="J111" s="91"/>
    </row>
    <row r="112" spans="1:10" hidden="1" x14ac:dyDescent="0.2">
      <c r="A112" s="252"/>
      <c r="B112" s="47" t="s">
        <v>168</v>
      </c>
      <c r="C112" s="48" t="s">
        <v>90</v>
      </c>
      <c r="D112" s="46" t="s">
        <v>3</v>
      </c>
      <c r="E112" s="96">
        <v>2.68</v>
      </c>
      <c r="F112" s="96">
        <v>20</v>
      </c>
      <c r="G112" s="96">
        <f>((E112+E110)/2)*F112</f>
        <v>65.5</v>
      </c>
      <c r="H112" s="91">
        <f>0.28+0.1</f>
        <v>0.38</v>
      </c>
      <c r="I112" s="91">
        <v>20</v>
      </c>
      <c r="J112" s="91">
        <f>((H112+H110)/2)*I112</f>
        <v>8.8000000000000007</v>
      </c>
    </row>
    <row r="113" spans="1:10" hidden="1" x14ac:dyDescent="0.2">
      <c r="A113" s="252"/>
      <c r="B113" s="47"/>
      <c r="C113" s="47"/>
      <c r="D113" s="46"/>
      <c r="E113" s="96"/>
      <c r="F113" s="95"/>
      <c r="G113" s="96"/>
      <c r="H113" s="91"/>
      <c r="I113" s="91"/>
      <c r="J113" s="91"/>
    </row>
    <row r="114" spans="1:10" hidden="1" x14ac:dyDescent="0.2">
      <c r="A114" s="252"/>
      <c r="B114" s="47" t="s">
        <v>169</v>
      </c>
      <c r="C114" s="48" t="s">
        <v>91</v>
      </c>
      <c r="D114" s="46" t="s">
        <v>3</v>
      </c>
      <c r="E114" s="96">
        <v>2.39</v>
      </c>
      <c r="F114" s="96">
        <v>20</v>
      </c>
      <c r="G114" s="96">
        <f>((E114+E112)/2)*F114</f>
        <v>50.7</v>
      </c>
      <c r="H114" s="91">
        <f>0.33+0.18</f>
        <v>0.51</v>
      </c>
      <c r="I114" s="91">
        <v>20</v>
      </c>
      <c r="J114" s="91">
        <f>((H114+H112)/2)*I114</f>
        <v>8.9</v>
      </c>
    </row>
    <row r="115" spans="1:10" hidden="1" x14ac:dyDescent="0.2">
      <c r="A115" s="252"/>
      <c r="B115" s="47"/>
      <c r="C115" s="47"/>
      <c r="D115" s="46"/>
      <c r="E115" s="96"/>
      <c r="F115" s="96"/>
      <c r="G115" s="96"/>
      <c r="H115" s="91"/>
      <c r="I115" s="91"/>
      <c r="J115" s="91"/>
    </row>
    <row r="116" spans="1:10" hidden="1" x14ac:dyDescent="0.2">
      <c r="A116" s="252"/>
      <c r="B116" s="47" t="s">
        <v>170</v>
      </c>
      <c r="C116" s="48" t="s">
        <v>92</v>
      </c>
      <c r="D116" s="46" t="s">
        <v>3</v>
      </c>
      <c r="E116" s="96">
        <v>2.57</v>
      </c>
      <c r="F116" s="96">
        <v>20</v>
      </c>
      <c r="G116" s="96">
        <f>((E116+E114)/2)*F116</f>
        <v>49.6</v>
      </c>
      <c r="H116" s="91">
        <f>0.22+0.08</f>
        <v>0.3</v>
      </c>
      <c r="I116" s="91">
        <v>20</v>
      </c>
      <c r="J116" s="91">
        <f>((H116+H114)/2)*I116</f>
        <v>8.1000000000000014</v>
      </c>
    </row>
    <row r="117" spans="1:10" hidden="1" x14ac:dyDescent="0.2">
      <c r="A117" s="252"/>
      <c r="B117" s="47"/>
      <c r="C117" s="47"/>
      <c r="D117" s="46"/>
      <c r="E117" s="96"/>
      <c r="F117" s="95"/>
      <c r="G117" s="96"/>
      <c r="H117" s="91"/>
      <c r="I117" s="91"/>
      <c r="J117" s="91"/>
    </row>
    <row r="118" spans="1:10" hidden="1" x14ac:dyDescent="0.2">
      <c r="A118" s="252"/>
      <c r="B118" s="47" t="s">
        <v>171</v>
      </c>
      <c r="C118" s="48" t="s">
        <v>93</v>
      </c>
      <c r="D118" s="46" t="s">
        <v>3</v>
      </c>
      <c r="E118" s="96">
        <v>3.54</v>
      </c>
      <c r="F118" s="96">
        <v>20</v>
      </c>
      <c r="G118" s="96">
        <f>((E118+E116)/2)*F118</f>
        <v>61.099999999999994</v>
      </c>
      <c r="H118" s="91">
        <f>0.36+0.1</f>
        <v>0.45999999999999996</v>
      </c>
      <c r="I118" s="91">
        <v>20</v>
      </c>
      <c r="J118" s="91">
        <f>((H118+H116)/2)*I118</f>
        <v>7.6</v>
      </c>
    </row>
    <row r="119" spans="1:10" hidden="1" x14ac:dyDescent="0.2">
      <c r="A119" s="252"/>
      <c r="B119" s="47"/>
      <c r="C119" s="47"/>
      <c r="D119" s="46"/>
      <c r="E119" s="96"/>
      <c r="F119" s="96"/>
      <c r="G119" s="96"/>
      <c r="H119" s="91"/>
      <c r="I119" s="91"/>
      <c r="J119" s="91"/>
    </row>
    <row r="120" spans="1:10" hidden="1" x14ac:dyDescent="0.2">
      <c r="A120" s="252"/>
      <c r="B120" s="47" t="s">
        <v>172</v>
      </c>
      <c r="C120" s="48" t="s">
        <v>94</v>
      </c>
      <c r="D120" s="46" t="s">
        <v>3</v>
      </c>
      <c r="E120" s="96">
        <v>2.75</v>
      </c>
      <c r="F120" s="96">
        <v>20</v>
      </c>
      <c r="G120" s="96">
        <f>((E120+E118)/2)*F120</f>
        <v>62.9</v>
      </c>
      <c r="H120" s="91">
        <f>0.21+0.11</f>
        <v>0.32</v>
      </c>
      <c r="I120" s="91">
        <v>20</v>
      </c>
      <c r="J120" s="91">
        <f>((H120+H118)/2)*I120</f>
        <v>7.8000000000000007</v>
      </c>
    </row>
    <row r="121" spans="1:10" hidden="1" x14ac:dyDescent="0.2">
      <c r="A121" s="252"/>
      <c r="B121" s="47"/>
      <c r="C121" s="47"/>
      <c r="D121" s="46"/>
      <c r="E121" s="96"/>
      <c r="F121" s="95"/>
      <c r="G121" s="96"/>
      <c r="H121" s="91"/>
      <c r="I121" s="91"/>
      <c r="J121" s="91"/>
    </row>
    <row r="122" spans="1:10" hidden="1" x14ac:dyDescent="0.2">
      <c r="A122" s="252"/>
      <c r="B122" s="47" t="s">
        <v>173</v>
      </c>
      <c r="C122" s="48" t="s">
        <v>95</v>
      </c>
      <c r="D122" s="46" t="s">
        <v>3</v>
      </c>
      <c r="E122" s="96">
        <v>1.92</v>
      </c>
      <c r="F122" s="96">
        <v>20</v>
      </c>
      <c r="G122" s="96">
        <f>((E122+E120)/2)*F122</f>
        <v>46.7</v>
      </c>
      <c r="H122" s="91">
        <f>0.13+0.05</f>
        <v>0.18</v>
      </c>
      <c r="I122" s="91">
        <v>20</v>
      </c>
      <c r="J122" s="91">
        <f>((H122+H120)/2)*I122</f>
        <v>5</v>
      </c>
    </row>
    <row r="123" spans="1:10" hidden="1" x14ac:dyDescent="0.2">
      <c r="A123" s="252"/>
      <c r="B123" s="47"/>
      <c r="C123" s="47"/>
      <c r="D123" s="46"/>
      <c r="E123" s="96"/>
      <c r="F123" s="96"/>
      <c r="G123" s="96"/>
      <c r="H123" s="91"/>
      <c r="I123" s="91"/>
      <c r="J123" s="91"/>
    </row>
    <row r="124" spans="1:10" hidden="1" x14ac:dyDescent="0.2">
      <c r="A124" s="252"/>
      <c r="B124" s="47" t="s">
        <v>174</v>
      </c>
      <c r="C124" s="48" t="s">
        <v>96</v>
      </c>
      <c r="D124" s="46" t="s">
        <v>3</v>
      </c>
      <c r="E124" s="96">
        <v>2.12</v>
      </c>
      <c r="F124" s="96">
        <v>20</v>
      </c>
      <c r="G124" s="96">
        <f>((E124+E122)/2)*F124</f>
        <v>40.4</v>
      </c>
      <c r="H124" s="91">
        <f>0.1+0.1</f>
        <v>0.2</v>
      </c>
      <c r="I124" s="91">
        <v>20</v>
      </c>
      <c r="J124" s="91">
        <f>((H124+H122)/2)*I124</f>
        <v>3.8</v>
      </c>
    </row>
    <row r="125" spans="1:10" hidden="1" x14ac:dyDescent="0.2">
      <c r="A125" s="252"/>
      <c r="B125" s="47"/>
      <c r="C125" s="47"/>
      <c r="D125" s="46"/>
      <c r="E125" s="96"/>
      <c r="F125" s="95"/>
      <c r="G125" s="96"/>
      <c r="H125" s="91"/>
      <c r="I125" s="91"/>
      <c r="J125" s="91"/>
    </row>
    <row r="126" spans="1:10" hidden="1" x14ac:dyDescent="0.2">
      <c r="A126" s="252"/>
      <c r="B126" s="47" t="s">
        <v>175</v>
      </c>
      <c r="C126" s="48" t="s">
        <v>97</v>
      </c>
      <c r="D126" s="46" t="s">
        <v>3</v>
      </c>
      <c r="E126" s="96">
        <v>2.65</v>
      </c>
      <c r="F126" s="96">
        <v>20</v>
      </c>
      <c r="G126" s="96">
        <f>((E126+E124)/2)*F126</f>
        <v>47.699999999999996</v>
      </c>
      <c r="H126" s="91">
        <f>0.09+0.045</f>
        <v>0.13500000000000001</v>
      </c>
      <c r="I126" s="91">
        <v>20</v>
      </c>
      <c r="J126" s="91">
        <f>((H126+H124)/2)*I126</f>
        <v>3.35</v>
      </c>
    </row>
    <row r="127" spans="1:10" hidden="1" x14ac:dyDescent="0.2">
      <c r="A127" s="252"/>
      <c r="B127" s="47"/>
      <c r="C127" s="47"/>
      <c r="D127" s="46"/>
      <c r="E127" s="96"/>
      <c r="F127" s="96"/>
      <c r="G127" s="96"/>
      <c r="H127" s="91"/>
      <c r="I127" s="91"/>
      <c r="J127" s="91"/>
    </row>
    <row r="128" spans="1:10" hidden="1" x14ac:dyDescent="0.2">
      <c r="A128" s="252"/>
      <c r="B128" s="47" t="s">
        <v>176</v>
      </c>
      <c r="C128" s="48" t="s">
        <v>98</v>
      </c>
      <c r="D128" s="46" t="s">
        <v>3</v>
      </c>
      <c r="E128" s="96">
        <v>2.5299999999999998</v>
      </c>
      <c r="F128" s="96">
        <v>20</v>
      </c>
      <c r="G128" s="96">
        <f>((E128+E126)/2)*F128</f>
        <v>51.8</v>
      </c>
      <c r="H128" s="91">
        <f>0.11+0.14</f>
        <v>0.25</v>
      </c>
      <c r="I128" s="91">
        <v>20</v>
      </c>
      <c r="J128" s="91">
        <f>((H128+H126)/2)*I128</f>
        <v>3.85</v>
      </c>
    </row>
    <row r="129" spans="1:10" hidden="1" x14ac:dyDescent="0.2">
      <c r="A129" s="252"/>
      <c r="B129" s="47"/>
      <c r="C129" s="47"/>
      <c r="D129" s="46"/>
      <c r="E129" s="96"/>
      <c r="F129" s="95"/>
      <c r="G129" s="96"/>
      <c r="H129" s="91"/>
      <c r="I129" s="91"/>
      <c r="J129" s="91"/>
    </row>
    <row r="130" spans="1:10" hidden="1" x14ac:dyDescent="0.2">
      <c r="A130" s="252"/>
      <c r="B130" s="47" t="s">
        <v>177</v>
      </c>
      <c r="C130" s="48" t="s">
        <v>99</v>
      </c>
      <c r="D130" s="46" t="s">
        <v>3</v>
      </c>
      <c r="E130" s="96">
        <v>1.61</v>
      </c>
      <c r="F130" s="96">
        <v>20</v>
      </c>
      <c r="G130" s="96">
        <f>((E130+E128)/2)*F130</f>
        <v>41.4</v>
      </c>
      <c r="H130" s="91">
        <f>0.09+0.17</f>
        <v>0.26</v>
      </c>
      <c r="I130" s="91">
        <v>20</v>
      </c>
      <c r="J130" s="91">
        <f>((H130+H128)/2)*I130</f>
        <v>5.0999999999999996</v>
      </c>
    </row>
    <row r="131" spans="1:10" hidden="1" x14ac:dyDescent="0.2">
      <c r="A131" s="252"/>
      <c r="B131" s="47"/>
      <c r="C131" s="47"/>
      <c r="D131" s="46"/>
      <c r="E131" s="96"/>
      <c r="F131" s="96"/>
      <c r="G131" s="96"/>
      <c r="H131" s="91"/>
      <c r="I131" s="91"/>
      <c r="J131" s="91"/>
    </row>
    <row r="132" spans="1:10" hidden="1" x14ac:dyDescent="0.2">
      <c r="A132" s="252"/>
      <c r="B132" s="47" t="s">
        <v>178</v>
      </c>
      <c r="C132" s="48" t="s">
        <v>100</v>
      </c>
      <c r="D132" s="46" t="s">
        <v>3</v>
      </c>
      <c r="E132" s="96">
        <v>1.1499999999999999</v>
      </c>
      <c r="F132" s="96">
        <v>20</v>
      </c>
      <c r="G132" s="96">
        <f>((E132+E130)/2)*F132</f>
        <v>27.599999999999998</v>
      </c>
      <c r="H132" s="91">
        <f>0.11+0.17</f>
        <v>0.28000000000000003</v>
      </c>
      <c r="I132" s="91">
        <v>20</v>
      </c>
      <c r="J132" s="91">
        <f>((H132+H130)/2)*I132</f>
        <v>5.4</v>
      </c>
    </row>
    <row r="133" spans="1:10" hidden="1" x14ac:dyDescent="0.2">
      <c r="A133" s="252"/>
      <c r="B133" s="47"/>
      <c r="C133" s="48"/>
      <c r="D133" s="46"/>
      <c r="E133" s="96"/>
      <c r="F133" s="95"/>
      <c r="G133" s="96"/>
      <c r="H133" s="91"/>
      <c r="I133" s="91"/>
      <c r="J133" s="91"/>
    </row>
    <row r="134" spans="1:10" hidden="1" x14ac:dyDescent="0.2">
      <c r="A134" s="252"/>
      <c r="B134" s="47" t="s">
        <v>179</v>
      </c>
      <c r="C134" s="48" t="s">
        <v>101</v>
      </c>
      <c r="D134" s="46" t="s">
        <v>3</v>
      </c>
      <c r="E134" s="96">
        <v>2.58</v>
      </c>
      <c r="F134" s="96">
        <v>20</v>
      </c>
      <c r="G134" s="96">
        <f>((E134+E132)/2)*F134</f>
        <v>37.299999999999997</v>
      </c>
      <c r="H134" s="91">
        <f>0.15+0.1</f>
        <v>0.25</v>
      </c>
      <c r="I134" s="91">
        <v>20</v>
      </c>
      <c r="J134" s="91">
        <f>((H134+H132)/2)*I134</f>
        <v>5.3000000000000007</v>
      </c>
    </row>
    <row r="135" spans="1:10" hidden="1" x14ac:dyDescent="0.2">
      <c r="A135" s="252"/>
      <c r="B135" s="47"/>
      <c r="C135" s="47"/>
      <c r="D135" s="46"/>
      <c r="E135" s="96"/>
      <c r="F135" s="96"/>
      <c r="G135" s="96"/>
      <c r="H135" s="91"/>
      <c r="I135" s="91"/>
      <c r="J135" s="91"/>
    </row>
    <row r="136" spans="1:10" hidden="1" x14ac:dyDescent="0.2">
      <c r="A136" s="252"/>
      <c r="B136" s="47" t="s">
        <v>180</v>
      </c>
      <c r="C136" s="48" t="s">
        <v>102</v>
      </c>
      <c r="D136" s="46" t="s">
        <v>3</v>
      </c>
      <c r="E136" s="96">
        <v>1.86</v>
      </c>
      <c r="F136" s="96">
        <v>20</v>
      </c>
      <c r="G136" s="96">
        <f>((E136+E134)/2)*F136</f>
        <v>44.400000000000006</v>
      </c>
      <c r="H136" s="91">
        <f>0.25+0.25</f>
        <v>0.5</v>
      </c>
      <c r="I136" s="91">
        <v>20</v>
      </c>
      <c r="J136" s="91">
        <f>((H136+H134)/2)*I136</f>
        <v>7.5</v>
      </c>
    </row>
    <row r="137" spans="1:10" hidden="1" x14ac:dyDescent="0.2">
      <c r="A137" s="252"/>
      <c r="B137" s="47"/>
      <c r="C137" s="48"/>
      <c r="D137" s="46"/>
      <c r="E137" s="96"/>
      <c r="F137" s="95"/>
      <c r="G137" s="96"/>
      <c r="H137" s="91"/>
      <c r="I137" s="91"/>
      <c r="J137" s="91"/>
    </row>
    <row r="138" spans="1:10" hidden="1" x14ac:dyDescent="0.2">
      <c r="A138" s="252"/>
      <c r="B138" s="47" t="s">
        <v>181</v>
      </c>
      <c r="C138" s="48" t="s">
        <v>103</v>
      </c>
      <c r="D138" s="46" t="s">
        <v>3</v>
      </c>
      <c r="E138" s="96">
        <v>1.81</v>
      </c>
      <c r="F138" s="96">
        <v>20</v>
      </c>
      <c r="G138" s="96">
        <f>((E138+E136)/2)*F138</f>
        <v>36.700000000000003</v>
      </c>
      <c r="H138" s="91">
        <f>0.27+0.21</f>
        <v>0.48</v>
      </c>
      <c r="I138" s="91">
        <v>20</v>
      </c>
      <c r="J138" s="91">
        <f>((H138+H136)/2)*I138</f>
        <v>9.8000000000000007</v>
      </c>
    </row>
    <row r="139" spans="1:10" hidden="1" x14ac:dyDescent="0.2">
      <c r="A139" s="252"/>
      <c r="B139" s="47"/>
      <c r="C139" s="47"/>
      <c r="D139" s="46"/>
      <c r="E139" s="96"/>
      <c r="F139" s="96"/>
      <c r="G139" s="96"/>
      <c r="H139" s="91"/>
      <c r="I139" s="91"/>
      <c r="J139" s="91"/>
    </row>
    <row r="140" spans="1:10" hidden="1" x14ac:dyDescent="0.2">
      <c r="A140" s="252"/>
      <c r="B140" s="47" t="s">
        <v>182</v>
      </c>
      <c r="C140" s="48" t="s">
        <v>104</v>
      </c>
      <c r="D140" s="46" t="s">
        <v>3</v>
      </c>
      <c r="E140" s="96">
        <v>0.6</v>
      </c>
      <c r="F140" s="96">
        <v>20</v>
      </c>
      <c r="G140" s="96">
        <f>((E140+E138)/2)*F140</f>
        <v>24.1</v>
      </c>
      <c r="H140" s="91">
        <f>0.1+0.39</f>
        <v>0.49</v>
      </c>
      <c r="I140" s="91">
        <v>20</v>
      </c>
      <c r="J140" s="91">
        <f>((H140+H138)/2)*I140</f>
        <v>9.6999999999999993</v>
      </c>
    </row>
    <row r="141" spans="1:10" hidden="1" x14ac:dyDescent="0.2">
      <c r="A141" s="252"/>
      <c r="B141" s="47"/>
      <c r="C141" s="48"/>
      <c r="D141" s="46"/>
      <c r="E141" s="96"/>
      <c r="F141" s="95"/>
      <c r="G141" s="96"/>
      <c r="H141" s="91"/>
      <c r="I141" s="91"/>
      <c r="J141" s="91"/>
    </row>
    <row r="142" spans="1:10" hidden="1" x14ac:dyDescent="0.2">
      <c r="A142" s="252"/>
      <c r="B142" s="47" t="s">
        <v>183</v>
      </c>
      <c r="C142" s="48" t="s">
        <v>105</v>
      </c>
      <c r="D142" s="46" t="s">
        <v>3</v>
      </c>
      <c r="E142" s="96">
        <v>2.89</v>
      </c>
      <c r="F142" s="96">
        <v>20</v>
      </c>
      <c r="G142" s="96">
        <f>((E142+E140)/2)*F142</f>
        <v>34.900000000000006</v>
      </c>
      <c r="H142" s="91">
        <f>0.21+0.11</f>
        <v>0.32</v>
      </c>
      <c r="I142" s="91">
        <v>20</v>
      </c>
      <c r="J142" s="91">
        <f>((H142+H140)/2)*I142</f>
        <v>8.1000000000000014</v>
      </c>
    </row>
    <row r="143" spans="1:10" hidden="1" x14ac:dyDescent="0.2">
      <c r="A143" s="252"/>
      <c r="B143" s="47"/>
      <c r="C143" s="47"/>
      <c r="D143" s="46"/>
      <c r="E143" s="96"/>
      <c r="F143" s="96"/>
      <c r="G143" s="96"/>
      <c r="H143" s="91"/>
      <c r="I143" s="91"/>
      <c r="J143" s="91"/>
    </row>
    <row r="144" spans="1:10" hidden="1" x14ac:dyDescent="0.2">
      <c r="A144" s="252"/>
      <c r="B144" s="47" t="s">
        <v>184</v>
      </c>
      <c r="C144" s="48" t="s">
        <v>106</v>
      </c>
      <c r="D144" s="46" t="s">
        <v>3</v>
      </c>
      <c r="E144" s="96">
        <v>2.31</v>
      </c>
      <c r="F144" s="96">
        <v>20</v>
      </c>
      <c r="G144" s="96">
        <f>((E144+E142)/2)*F144</f>
        <v>52</v>
      </c>
      <c r="H144" s="91">
        <f>0.26+0.12</f>
        <v>0.38</v>
      </c>
      <c r="I144" s="91">
        <v>20</v>
      </c>
      <c r="J144" s="91">
        <f>((H144+H142)/2)*I144</f>
        <v>7</v>
      </c>
    </row>
    <row r="145" spans="1:12" hidden="1" x14ac:dyDescent="0.2">
      <c r="A145" s="252"/>
      <c r="B145" s="47"/>
      <c r="C145" s="48"/>
      <c r="D145" s="46"/>
      <c r="E145" s="96"/>
      <c r="F145" s="95"/>
      <c r="G145" s="96"/>
      <c r="H145" s="91"/>
      <c r="I145" s="91"/>
      <c r="J145" s="91"/>
    </row>
    <row r="146" spans="1:12" hidden="1" x14ac:dyDescent="0.2">
      <c r="A146" s="252"/>
      <c r="B146" s="47" t="s">
        <v>185</v>
      </c>
      <c r="C146" s="48" t="s">
        <v>107</v>
      </c>
      <c r="D146" s="46" t="s">
        <v>3</v>
      </c>
      <c r="E146" s="96">
        <v>2.56</v>
      </c>
      <c r="F146" s="96">
        <v>20</v>
      </c>
      <c r="G146" s="96">
        <f>((E146+E144)/2)*F146</f>
        <v>48.7</v>
      </c>
      <c r="H146" s="91">
        <f>0.26+0.14</f>
        <v>0.4</v>
      </c>
      <c r="I146" s="91">
        <v>20</v>
      </c>
      <c r="J146" s="91">
        <f>((H146+H144)/2)*I146</f>
        <v>7.8000000000000007</v>
      </c>
    </row>
    <row r="147" spans="1:12" hidden="1" x14ac:dyDescent="0.2">
      <c r="A147" s="252"/>
      <c r="B147" s="47"/>
      <c r="C147" s="47"/>
      <c r="D147" s="46"/>
      <c r="E147" s="96"/>
      <c r="F147" s="96"/>
      <c r="G147" s="96"/>
      <c r="H147" s="91"/>
      <c r="I147" s="91"/>
      <c r="J147" s="91"/>
    </row>
    <row r="148" spans="1:12" hidden="1" x14ac:dyDescent="0.2">
      <c r="A148" s="252"/>
      <c r="B148" s="47" t="s">
        <v>186</v>
      </c>
      <c r="C148" s="48" t="s">
        <v>108</v>
      </c>
      <c r="D148" s="46" t="s">
        <v>3</v>
      </c>
      <c r="E148" s="96">
        <v>3.08</v>
      </c>
      <c r="F148" s="96">
        <v>20</v>
      </c>
      <c r="G148" s="96">
        <f>((E148+E146)/2)*F148</f>
        <v>56.400000000000006</v>
      </c>
      <c r="H148" s="91">
        <f>0.25+0.14</f>
        <v>0.39</v>
      </c>
      <c r="I148" s="91">
        <v>20</v>
      </c>
      <c r="J148" s="91">
        <f>((H148+H146)/2)*I148</f>
        <v>7.9</v>
      </c>
    </row>
    <row r="149" spans="1:12" hidden="1" x14ac:dyDescent="0.2">
      <c r="A149" s="252"/>
      <c r="B149" s="47"/>
      <c r="C149" s="48"/>
      <c r="D149" s="46"/>
      <c r="E149" s="96"/>
      <c r="F149" s="95"/>
      <c r="G149" s="96"/>
      <c r="H149" s="91"/>
      <c r="I149" s="91"/>
      <c r="J149" s="91"/>
    </row>
    <row r="150" spans="1:12" hidden="1" x14ac:dyDescent="0.2">
      <c r="A150" s="252"/>
      <c r="B150" s="47" t="s">
        <v>187</v>
      </c>
      <c r="C150" s="48" t="s">
        <v>109</v>
      </c>
      <c r="D150" s="46" t="s">
        <v>3</v>
      </c>
      <c r="E150" s="96">
        <v>3.43</v>
      </c>
      <c r="F150" s="96">
        <v>20</v>
      </c>
      <c r="G150" s="96">
        <f>((E150+E148)/2)*F150</f>
        <v>65.099999999999994</v>
      </c>
      <c r="H150" s="91">
        <f>0.27+0.135</f>
        <v>0.40500000000000003</v>
      </c>
      <c r="I150" s="91">
        <v>20</v>
      </c>
      <c r="J150" s="91">
        <f>((H150+H148)/2)*I150</f>
        <v>7.95</v>
      </c>
    </row>
    <row r="151" spans="1:12" hidden="1" x14ac:dyDescent="0.2">
      <c r="A151" s="252"/>
      <c r="B151" s="47"/>
      <c r="C151" s="47"/>
      <c r="D151" s="46"/>
      <c r="E151" s="96"/>
      <c r="F151" s="96"/>
      <c r="G151" s="96"/>
      <c r="H151" s="91"/>
      <c r="I151" s="91"/>
      <c r="J151" s="91"/>
    </row>
    <row r="152" spans="1:12" hidden="1" x14ac:dyDescent="0.2">
      <c r="A152" s="252"/>
      <c r="B152" s="47" t="s">
        <v>188</v>
      </c>
      <c r="C152" s="48" t="s">
        <v>110</v>
      </c>
      <c r="D152" s="46" t="s">
        <v>3</v>
      </c>
      <c r="E152" s="96">
        <v>4.45</v>
      </c>
      <c r="F152" s="96">
        <v>20</v>
      </c>
      <c r="G152" s="96">
        <f>((E152+E150)/2)*F152</f>
        <v>78.800000000000011</v>
      </c>
      <c r="H152" s="91">
        <f>0.2+0.3</f>
        <v>0.5</v>
      </c>
      <c r="I152" s="91">
        <v>20</v>
      </c>
      <c r="J152" s="91">
        <f>((H152+H150)/2)*I152</f>
        <v>9.0500000000000007</v>
      </c>
    </row>
    <row r="153" spans="1:12" hidden="1" x14ac:dyDescent="0.2">
      <c r="A153" s="252"/>
      <c r="B153" s="47"/>
      <c r="C153" s="48"/>
      <c r="D153" s="46"/>
      <c r="E153" s="96"/>
      <c r="F153" s="95"/>
      <c r="G153" s="96"/>
      <c r="H153" s="91"/>
      <c r="I153" s="91"/>
      <c r="J153" s="91"/>
    </row>
    <row r="154" spans="1:12" s="49" customFormat="1" hidden="1" x14ac:dyDescent="0.2">
      <c r="A154" s="252"/>
      <c r="B154" s="47" t="s">
        <v>189</v>
      </c>
      <c r="C154" s="48" t="s">
        <v>111</v>
      </c>
      <c r="D154" s="46" t="s">
        <v>3</v>
      </c>
      <c r="E154" s="96">
        <v>2.2999999999999998</v>
      </c>
      <c r="F154" s="96">
        <v>7.7</v>
      </c>
      <c r="G154" s="96">
        <f>((E154+E152)/2)*F154</f>
        <v>25.987500000000001</v>
      </c>
      <c r="H154" s="91">
        <f>0.13+0.12</f>
        <v>0.25</v>
      </c>
      <c r="I154" s="91">
        <v>20</v>
      </c>
      <c r="J154" s="91">
        <f>((H154+H152)/2)*I154</f>
        <v>7.5</v>
      </c>
    </row>
    <row r="155" spans="1:12" hidden="1" x14ac:dyDescent="0.2">
      <c r="A155" s="252"/>
      <c r="B155" s="105"/>
      <c r="C155" s="105"/>
      <c r="D155" s="107"/>
      <c r="E155" s="103"/>
      <c r="F155" s="103"/>
      <c r="G155" s="103"/>
      <c r="H155" s="108"/>
      <c r="I155" s="108"/>
      <c r="J155" s="108"/>
    </row>
    <row r="156" spans="1:12" hidden="1" x14ac:dyDescent="0.2">
      <c r="A156" s="252"/>
      <c r="B156" s="105" t="s">
        <v>190</v>
      </c>
      <c r="C156" s="106" t="s">
        <v>112</v>
      </c>
      <c r="D156" s="107" t="s">
        <v>3</v>
      </c>
      <c r="E156" s="103">
        <v>0</v>
      </c>
      <c r="F156" s="103">
        <v>20</v>
      </c>
      <c r="G156" s="103"/>
      <c r="H156" s="108"/>
      <c r="I156" s="108">
        <v>20</v>
      </c>
      <c r="J156" s="108"/>
      <c r="L156" s="129" t="s">
        <v>199</v>
      </c>
    </row>
    <row r="157" spans="1:12" hidden="1" x14ac:dyDescent="0.2">
      <c r="A157" s="252"/>
      <c r="B157" s="105"/>
      <c r="C157" s="106"/>
      <c r="D157" s="107"/>
      <c r="E157" s="103"/>
      <c r="F157" s="103"/>
      <c r="G157" s="103"/>
      <c r="H157" s="108"/>
      <c r="I157" s="108"/>
      <c r="J157" s="108"/>
    </row>
    <row r="158" spans="1:12" hidden="1" x14ac:dyDescent="0.2">
      <c r="A158" s="253"/>
      <c r="B158" s="109" t="s">
        <v>191</v>
      </c>
      <c r="C158" s="110" t="s">
        <v>113</v>
      </c>
      <c r="D158" s="111" t="s">
        <v>3</v>
      </c>
      <c r="E158" s="104">
        <v>0</v>
      </c>
      <c r="F158" s="104">
        <v>20</v>
      </c>
      <c r="G158" s="104"/>
      <c r="H158" s="112"/>
      <c r="I158" s="112">
        <v>20</v>
      </c>
      <c r="J158" s="112"/>
      <c r="L158" s="129" t="s">
        <v>199</v>
      </c>
    </row>
    <row r="159" spans="1:12" hidden="1" x14ac:dyDescent="0.2">
      <c r="A159" s="124"/>
      <c r="B159" s="125" t="s">
        <v>14</v>
      </c>
      <c r="C159" s="126" t="s">
        <v>198</v>
      </c>
      <c r="D159" s="127" t="s">
        <v>3</v>
      </c>
      <c r="E159" s="128"/>
      <c r="F159" s="128"/>
      <c r="G159" s="128">
        <f>SUM(G96:G158)</f>
        <v>1675.3875</v>
      </c>
      <c r="H159" s="128"/>
      <c r="I159" s="128"/>
      <c r="J159" s="128">
        <f>SUM(J96:J158)</f>
        <v>226.70000000000002</v>
      </c>
    </row>
    <row r="160" spans="1:12" customFormat="1" x14ac:dyDescent="0.2"/>
    <row r="161" spans="1:13" customFormat="1" x14ac:dyDescent="0.2"/>
    <row r="162" spans="1:13" x14ac:dyDescent="0.2">
      <c r="H162" s="32" t="s">
        <v>271</v>
      </c>
      <c r="I162" s="32" t="s">
        <v>272</v>
      </c>
      <c r="J162" s="32" t="s">
        <v>272</v>
      </c>
    </row>
    <row r="163" spans="1:13" ht="51" x14ac:dyDescent="0.2">
      <c r="A163" s="181" t="s">
        <v>255</v>
      </c>
      <c r="B163" s="178" t="s">
        <v>256</v>
      </c>
      <c r="C163" s="178" t="s">
        <v>257</v>
      </c>
      <c r="D163" s="178" t="s">
        <v>228</v>
      </c>
      <c r="E163" s="178" t="s">
        <v>267</v>
      </c>
      <c r="F163" s="179" t="s">
        <v>214</v>
      </c>
      <c r="G163" s="179" t="s">
        <v>244</v>
      </c>
      <c r="H163" s="180" t="s">
        <v>268</v>
      </c>
      <c r="I163" s="180" t="s">
        <v>269</v>
      </c>
      <c r="J163" s="180" t="s">
        <v>270</v>
      </c>
      <c r="K163" s="180" t="s">
        <v>275</v>
      </c>
      <c r="L163" s="146"/>
    </row>
    <row r="164" spans="1:13" x14ac:dyDescent="0.2">
      <c r="A164" s="177" t="s">
        <v>258</v>
      </c>
      <c r="B164" s="185">
        <v>661.77</v>
      </c>
      <c r="C164" s="186">
        <v>237.14</v>
      </c>
      <c r="D164" s="186">
        <v>68.64</v>
      </c>
      <c r="E164" s="187">
        <f>IF(C164&gt;D164,C164-D164,D164-C164)</f>
        <v>168.5</v>
      </c>
      <c r="F164" s="188">
        <f>C164*0.1</f>
        <v>23.713999999999999</v>
      </c>
      <c r="G164" s="188">
        <f>C164-F164</f>
        <v>213.42599999999999</v>
      </c>
      <c r="H164" s="188">
        <f>F164*(1+$N$3)</f>
        <v>33.199599999999997</v>
      </c>
      <c r="I164" s="188">
        <f>G164*(1+$N$2)</f>
        <v>256.1112</v>
      </c>
      <c r="J164" s="188">
        <f>D164*(1+$N$2)</f>
        <v>82.367999999999995</v>
      </c>
      <c r="K164" s="182">
        <f>B164*0.2</f>
        <v>132.35400000000001</v>
      </c>
      <c r="L164" s="146" t="s">
        <v>274</v>
      </c>
    </row>
    <row r="165" spans="1:13" ht="25.5" x14ac:dyDescent="0.2">
      <c r="A165" s="176" t="s">
        <v>259</v>
      </c>
      <c r="B165" s="189">
        <v>111.1</v>
      </c>
      <c r="C165" s="190">
        <v>0.22</v>
      </c>
      <c r="D165" s="190">
        <v>18.52</v>
      </c>
      <c r="E165" s="191">
        <f t="shared" ref="E165:E186" si="6">IF(C165&gt;D165,C165-D165,D165-C165)</f>
        <v>18.3</v>
      </c>
      <c r="F165" s="182">
        <f t="shared" ref="F165:F185" si="7">C165*0.1</f>
        <v>2.2000000000000002E-2</v>
      </c>
      <c r="G165" s="182">
        <f t="shared" ref="G165:G185" si="8">C165-F165</f>
        <v>0.19800000000000001</v>
      </c>
      <c r="H165" s="182">
        <f t="shared" ref="H165:H185" si="9">F165*(1+$N$3)</f>
        <v>3.0800000000000001E-2</v>
      </c>
      <c r="I165" s="182">
        <f t="shared" ref="I165:I185" si="10">G165*(1+$N$2)</f>
        <v>0.23760000000000001</v>
      </c>
      <c r="J165" s="182">
        <f t="shared" ref="J165:J185" si="11">D165*(1+$N$2)</f>
        <v>22.224</v>
      </c>
      <c r="K165" s="182">
        <f t="shared" ref="K165:K185" si="12">B165*0.2</f>
        <v>22.22</v>
      </c>
      <c r="L165" s="146" t="s">
        <v>273</v>
      </c>
    </row>
    <row r="166" spans="1:13" x14ac:dyDescent="0.2">
      <c r="A166" s="176" t="s">
        <v>260</v>
      </c>
      <c r="B166" s="189">
        <v>1532.61</v>
      </c>
      <c r="C166" s="190">
        <v>1.5</v>
      </c>
      <c r="D166" s="190">
        <v>1648.99</v>
      </c>
      <c r="E166" s="191">
        <f t="shared" si="6"/>
        <v>1647.49</v>
      </c>
      <c r="F166" s="182">
        <f t="shared" si="7"/>
        <v>0.15000000000000002</v>
      </c>
      <c r="G166" s="182">
        <f t="shared" si="8"/>
        <v>1.35</v>
      </c>
      <c r="H166" s="182">
        <f t="shared" si="9"/>
        <v>0.21000000000000002</v>
      </c>
      <c r="I166" s="182">
        <f t="shared" si="10"/>
        <v>1.62</v>
      </c>
      <c r="J166" s="182">
        <f t="shared" si="11"/>
        <v>1978.788</v>
      </c>
      <c r="K166" s="182">
        <f t="shared" si="12"/>
        <v>306.52199999999999</v>
      </c>
      <c r="L166" s="146" t="s">
        <v>273</v>
      </c>
    </row>
    <row r="167" spans="1:13" x14ac:dyDescent="0.2">
      <c r="A167" s="176" t="s">
        <v>288</v>
      </c>
      <c r="B167" s="189">
        <f>714.02-B168</f>
        <v>90.269999999999982</v>
      </c>
      <c r="C167" s="190">
        <f>508.63-C168</f>
        <v>57.569999999999993</v>
      </c>
      <c r="D167" s="190">
        <f>7-D168</f>
        <v>0.45000000000000018</v>
      </c>
      <c r="E167" s="191">
        <f t="shared" si="6"/>
        <v>57.11999999999999</v>
      </c>
      <c r="F167" s="182">
        <f t="shared" si="7"/>
        <v>5.7569999999999997</v>
      </c>
      <c r="G167" s="182">
        <f t="shared" si="8"/>
        <v>51.812999999999995</v>
      </c>
      <c r="H167" s="182">
        <f t="shared" si="9"/>
        <v>8.0597999999999992</v>
      </c>
      <c r="I167" s="182">
        <f t="shared" si="10"/>
        <v>62.175599999999989</v>
      </c>
      <c r="J167" s="182">
        <f t="shared" si="11"/>
        <v>0.54000000000000015</v>
      </c>
      <c r="K167" s="182">
        <f t="shared" si="12"/>
        <v>18.053999999999998</v>
      </c>
      <c r="L167" s="146" t="s">
        <v>274</v>
      </c>
    </row>
    <row r="168" spans="1:13" x14ac:dyDescent="0.2">
      <c r="A168" s="176" t="s">
        <v>289</v>
      </c>
      <c r="B168" s="189">
        <v>623.75</v>
      </c>
      <c r="C168" s="190">
        <v>451.06</v>
      </c>
      <c r="D168" s="190">
        <v>6.55</v>
      </c>
      <c r="E168" s="191">
        <f t="shared" ref="E168" si="13">IF(C168&gt;D168,C168-D168,D168-C168)</f>
        <v>444.51</v>
      </c>
      <c r="F168" s="182">
        <f t="shared" ref="F168" si="14">C168*0.1</f>
        <v>45.106000000000002</v>
      </c>
      <c r="G168" s="182">
        <f t="shared" ref="G168" si="15">C168-F168</f>
        <v>405.95400000000001</v>
      </c>
      <c r="H168" s="182">
        <f t="shared" ref="H168" si="16">F168*(1+$N$3)</f>
        <v>63.148399999999995</v>
      </c>
      <c r="I168" s="182">
        <f t="shared" ref="I168" si="17">G168*(1+$N$2)</f>
        <v>487.14479999999998</v>
      </c>
      <c r="J168" s="182">
        <f t="shared" ref="J168" si="18">D168*(1+$N$2)</f>
        <v>7.8599999999999994</v>
      </c>
      <c r="K168" s="182">
        <f t="shared" ref="K168" si="19">B168*0.2</f>
        <v>124.75</v>
      </c>
      <c r="L168" s="146" t="s">
        <v>273</v>
      </c>
    </row>
    <row r="169" spans="1:13" x14ac:dyDescent="0.2">
      <c r="A169" s="176" t="s">
        <v>287</v>
      </c>
      <c r="B169" s="189">
        <f>226.44-B170</f>
        <v>86.699999999999989</v>
      </c>
      <c r="C169" s="190">
        <f>76.74-C170</f>
        <v>2.769999999999996</v>
      </c>
      <c r="D169" s="190">
        <f>19.3-D170</f>
        <v>19.3</v>
      </c>
      <c r="E169" s="191">
        <f t="shared" si="6"/>
        <v>16.530000000000005</v>
      </c>
      <c r="F169" s="182">
        <f t="shared" si="7"/>
        <v>0.27699999999999964</v>
      </c>
      <c r="G169" s="182">
        <f t="shared" si="8"/>
        <v>2.4929999999999963</v>
      </c>
      <c r="H169" s="182">
        <f t="shared" si="9"/>
        <v>0.38779999999999948</v>
      </c>
      <c r="I169" s="182">
        <f t="shared" si="10"/>
        <v>2.9915999999999956</v>
      </c>
      <c r="J169" s="182">
        <f t="shared" si="11"/>
        <v>23.16</v>
      </c>
      <c r="K169" s="182">
        <f t="shared" si="12"/>
        <v>17.34</v>
      </c>
      <c r="L169" s="146" t="s">
        <v>274</v>
      </c>
    </row>
    <row r="170" spans="1:13" x14ac:dyDescent="0.2">
      <c r="A170" s="176" t="s">
        <v>286</v>
      </c>
      <c r="B170" s="189">
        <v>139.74</v>
      </c>
      <c r="C170" s="190">
        <v>73.97</v>
      </c>
      <c r="D170" s="190">
        <v>0</v>
      </c>
      <c r="E170" s="191">
        <f t="shared" ref="E170" si="20">IF(C170&gt;D170,C170-D170,D170-C170)</f>
        <v>73.97</v>
      </c>
      <c r="F170" s="182">
        <f t="shared" ref="F170" si="21">C170*0.1</f>
        <v>7.3970000000000002</v>
      </c>
      <c r="G170" s="182">
        <f t="shared" ref="G170" si="22">C170-F170</f>
        <v>66.572999999999993</v>
      </c>
      <c r="H170" s="182">
        <f t="shared" ref="H170" si="23">F170*(1+$N$3)</f>
        <v>10.3558</v>
      </c>
      <c r="I170" s="182">
        <f t="shared" ref="I170" si="24">G170*(1+$N$2)</f>
        <v>79.887599999999992</v>
      </c>
      <c r="J170" s="182">
        <f t="shared" ref="J170" si="25">D170*(1+$N$2)</f>
        <v>0</v>
      </c>
      <c r="K170" s="182">
        <f t="shared" ref="K170" si="26">B170*0.2</f>
        <v>27.948000000000004</v>
      </c>
      <c r="L170" s="146" t="s">
        <v>273</v>
      </c>
    </row>
    <row r="171" spans="1:13" x14ac:dyDescent="0.2">
      <c r="A171" s="176" t="s">
        <v>261</v>
      </c>
      <c r="B171" s="189">
        <v>476.84</v>
      </c>
      <c r="C171" s="190">
        <v>256.95</v>
      </c>
      <c r="D171" s="190">
        <v>0.01</v>
      </c>
      <c r="E171" s="191">
        <f t="shared" si="6"/>
        <v>256.94</v>
      </c>
      <c r="F171" s="182">
        <f t="shared" si="7"/>
        <v>25.695</v>
      </c>
      <c r="G171" s="182">
        <f t="shared" si="8"/>
        <v>231.255</v>
      </c>
      <c r="H171" s="182">
        <f t="shared" si="9"/>
        <v>35.972999999999999</v>
      </c>
      <c r="I171" s="182">
        <f t="shared" si="10"/>
        <v>277.50599999999997</v>
      </c>
      <c r="J171" s="182">
        <f t="shared" si="11"/>
        <v>1.2E-2</v>
      </c>
      <c r="K171" s="182">
        <f t="shared" si="12"/>
        <v>95.367999999999995</v>
      </c>
      <c r="L171" s="146" t="s">
        <v>273</v>
      </c>
    </row>
    <row r="172" spans="1:13" x14ac:dyDescent="0.2">
      <c r="A172" s="176" t="s">
        <v>291</v>
      </c>
      <c r="B172" s="189">
        <f>276.98-B173</f>
        <v>158.26000000000002</v>
      </c>
      <c r="C172" s="190">
        <f>70.9-C173</f>
        <v>43.990000000000009</v>
      </c>
      <c r="D172" s="190">
        <f>0.03-D173</f>
        <v>0.03</v>
      </c>
      <c r="E172" s="191">
        <f t="shared" si="6"/>
        <v>43.960000000000008</v>
      </c>
      <c r="F172" s="182">
        <f t="shared" si="7"/>
        <v>4.3990000000000009</v>
      </c>
      <c r="G172" s="182">
        <f t="shared" si="8"/>
        <v>39.591000000000008</v>
      </c>
      <c r="H172" s="182">
        <f t="shared" si="9"/>
        <v>6.1586000000000007</v>
      </c>
      <c r="I172" s="182">
        <f t="shared" si="10"/>
        <v>47.509200000000007</v>
      </c>
      <c r="J172" s="182">
        <f t="shared" si="11"/>
        <v>3.5999999999999997E-2</v>
      </c>
      <c r="K172" s="182">
        <f t="shared" si="12"/>
        <v>31.652000000000005</v>
      </c>
      <c r="L172" s="146" t="s">
        <v>274</v>
      </c>
    </row>
    <row r="173" spans="1:13" x14ac:dyDescent="0.2">
      <c r="A173" s="176" t="s">
        <v>290</v>
      </c>
      <c r="B173" s="189">
        <v>118.72</v>
      </c>
      <c r="C173" s="190">
        <v>26.91</v>
      </c>
      <c r="D173" s="190">
        <v>0</v>
      </c>
      <c r="E173" s="191">
        <f t="shared" ref="E173" si="27">IF(C173&gt;D173,C173-D173,D173-C173)</f>
        <v>26.91</v>
      </c>
      <c r="F173" s="182">
        <f t="shared" ref="F173" si="28">C173*0.1</f>
        <v>2.6910000000000003</v>
      </c>
      <c r="G173" s="182">
        <f t="shared" ref="G173" si="29">C173-F173</f>
        <v>24.219000000000001</v>
      </c>
      <c r="H173" s="182">
        <f t="shared" ref="H173" si="30">F173*(1+$N$3)</f>
        <v>3.7674000000000003</v>
      </c>
      <c r="I173" s="182">
        <f t="shared" ref="I173" si="31">G173*(1+$N$2)</f>
        <v>29.062799999999999</v>
      </c>
      <c r="J173" s="182">
        <f t="shared" ref="J173" si="32">D173*(1+$N$2)</f>
        <v>0</v>
      </c>
      <c r="K173" s="182">
        <f t="shared" ref="K173" si="33">B173*0.2</f>
        <v>23.744</v>
      </c>
      <c r="L173" s="146" t="s">
        <v>273</v>
      </c>
    </row>
    <row r="174" spans="1:13" x14ac:dyDescent="0.2">
      <c r="A174" s="176" t="s">
        <v>262</v>
      </c>
      <c r="B174" s="189">
        <v>886.43</v>
      </c>
      <c r="C174" s="190">
        <v>81.489999999999995</v>
      </c>
      <c r="D174" s="190">
        <v>150.6</v>
      </c>
      <c r="E174" s="191">
        <f t="shared" si="6"/>
        <v>69.11</v>
      </c>
      <c r="F174" s="182">
        <f t="shared" si="7"/>
        <v>8.1489999999999991</v>
      </c>
      <c r="G174" s="182">
        <f t="shared" si="8"/>
        <v>73.340999999999994</v>
      </c>
      <c r="H174" s="182">
        <f t="shared" si="9"/>
        <v>11.408599999999998</v>
      </c>
      <c r="I174" s="182">
        <f t="shared" si="10"/>
        <v>88.009199999999993</v>
      </c>
      <c r="J174" s="182">
        <f t="shared" si="11"/>
        <v>180.72</v>
      </c>
      <c r="K174" s="182">
        <f t="shared" si="12"/>
        <v>177.286</v>
      </c>
      <c r="L174" s="146" t="s">
        <v>273</v>
      </c>
    </row>
    <row r="175" spans="1:13" x14ac:dyDescent="0.2">
      <c r="A175" s="176" t="s">
        <v>263</v>
      </c>
      <c r="B175" s="189">
        <v>4247.1899999999996</v>
      </c>
      <c r="C175" s="190">
        <v>508.07</v>
      </c>
      <c r="D175" s="190">
        <v>184.62</v>
      </c>
      <c r="E175" s="191">
        <f t="shared" si="6"/>
        <v>323.45</v>
      </c>
      <c r="F175" s="182">
        <f t="shared" si="7"/>
        <v>50.807000000000002</v>
      </c>
      <c r="G175" s="182">
        <f t="shared" si="8"/>
        <v>457.26299999999998</v>
      </c>
      <c r="H175" s="182">
        <f t="shared" si="9"/>
        <v>71.129800000000003</v>
      </c>
      <c r="I175" s="182">
        <f t="shared" si="10"/>
        <v>548.71559999999999</v>
      </c>
      <c r="J175" s="182">
        <f t="shared" si="11"/>
        <v>221.54400000000001</v>
      </c>
      <c r="K175" s="182">
        <f t="shared" si="12"/>
        <v>849.43799999999999</v>
      </c>
      <c r="L175" s="146" t="s">
        <v>277</v>
      </c>
      <c r="M175" s="32" t="s">
        <v>293</v>
      </c>
    </row>
    <row r="176" spans="1:13" x14ac:dyDescent="0.2">
      <c r="A176" s="176" t="s">
        <v>292</v>
      </c>
      <c r="B176" s="189">
        <f>2746.7-B178</f>
        <v>165.52999999999975</v>
      </c>
      <c r="C176" s="190">
        <f>241.96-C178</f>
        <v>44.22</v>
      </c>
      <c r="D176" s="190">
        <f>303.23-D178</f>
        <v>0.53000000000002956</v>
      </c>
      <c r="E176" s="191">
        <f t="shared" si="6"/>
        <v>43.689999999999969</v>
      </c>
      <c r="F176" s="182">
        <f t="shared" si="7"/>
        <v>4.4219999999999997</v>
      </c>
      <c r="G176" s="182">
        <f t="shared" si="8"/>
        <v>39.798000000000002</v>
      </c>
      <c r="H176" s="182">
        <f t="shared" si="9"/>
        <v>6.1907999999999994</v>
      </c>
      <c r="I176" s="182">
        <f t="shared" si="10"/>
        <v>47.757600000000004</v>
      </c>
      <c r="J176" s="182">
        <f t="shared" si="11"/>
        <v>0.63600000000003543</v>
      </c>
      <c r="K176" s="182">
        <f t="shared" si="12"/>
        <v>33.105999999999952</v>
      </c>
      <c r="L176" s="146" t="s">
        <v>281</v>
      </c>
    </row>
    <row r="177" spans="1:13" x14ac:dyDescent="0.2">
      <c r="A177" s="184" t="s">
        <v>285</v>
      </c>
      <c r="B177" s="189">
        <f>3384.59-2746.7</f>
        <v>637.89000000000033</v>
      </c>
      <c r="C177" s="190">
        <f>264.22-241.96</f>
        <v>22.260000000000019</v>
      </c>
      <c r="D177" s="190">
        <f>472.16-303.23</f>
        <v>168.93</v>
      </c>
      <c r="E177" s="191">
        <f t="shared" si="6"/>
        <v>146.66999999999999</v>
      </c>
      <c r="F177" s="182">
        <f t="shared" si="7"/>
        <v>2.2260000000000022</v>
      </c>
      <c r="G177" s="182">
        <f t="shared" si="8"/>
        <v>20.034000000000017</v>
      </c>
      <c r="H177" s="182">
        <f t="shared" si="9"/>
        <v>3.1164000000000027</v>
      </c>
      <c r="I177" s="182">
        <f t="shared" si="10"/>
        <v>24.040800000000019</v>
      </c>
      <c r="J177" s="182">
        <f t="shared" si="11"/>
        <v>202.71600000000001</v>
      </c>
      <c r="K177" s="182">
        <f t="shared" si="12"/>
        <v>127.57800000000007</v>
      </c>
      <c r="L177" s="146" t="s">
        <v>274</v>
      </c>
    </row>
    <row r="178" spans="1:13" x14ac:dyDescent="0.2">
      <c r="A178" s="176" t="s">
        <v>284</v>
      </c>
      <c r="B178" s="189">
        <v>2581.17</v>
      </c>
      <c r="C178" s="190">
        <v>197.74</v>
      </c>
      <c r="D178" s="190">
        <v>302.7</v>
      </c>
      <c r="E178" s="191">
        <f t="shared" ref="E178" si="34">IF(C178&gt;D178,C178-D178,D178-C178)</f>
        <v>104.95999999999998</v>
      </c>
      <c r="F178" s="182">
        <f t="shared" ref="F178" si="35">C178*0.1</f>
        <v>19.774000000000001</v>
      </c>
      <c r="G178" s="182">
        <f t="shared" ref="G178" si="36">C178-F178</f>
        <v>177.96600000000001</v>
      </c>
      <c r="H178" s="182">
        <f t="shared" ref="H178" si="37">F178*(1+$N$3)</f>
        <v>27.683599999999998</v>
      </c>
      <c r="I178" s="182">
        <f t="shared" ref="I178" si="38">G178*(1+$N$2)</f>
        <v>213.5592</v>
      </c>
      <c r="J178" s="182">
        <f t="shared" ref="J178" si="39">D178*(1+$N$2)</f>
        <v>363.23999999999995</v>
      </c>
      <c r="K178" s="182">
        <f t="shared" ref="K178" si="40">B178*0.2</f>
        <v>516.23400000000004</v>
      </c>
      <c r="L178" s="146" t="s">
        <v>273</v>
      </c>
    </row>
    <row r="179" spans="1:13" x14ac:dyDescent="0.2">
      <c r="A179" s="176" t="s">
        <v>264</v>
      </c>
      <c r="B179" s="189"/>
      <c r="C179" s="190"/>
      <c r="D179" s="190"/>
      <c r="E179" s="191"/>
      <c r="F179" s="182"/>
      <c r="G179" s="182"/>
      <c r="H179" s="182"/>
      <c r="I179" s="182"/>
      <c r="J179" s="182"/>
      <c r="K179" s="182"/>
      <c r="L179" s="146" t="s">
        <v>273</v>
      </c>
      <c r="M179" s="32" t="s">
        <v>294</v>
      </c>
    </row>
    <row r="180" spans="1:13" x14ac:dyDescent="0.2">
      <c r="A180" s="176" t="s">
        <v>265</v>
      </c>
      <c r="B180" s="189">
        <v>7034.67</v>
      </c>
      <c r="C180" s="190">
        <v>2.87</v>
      </c>
      <c r="D180" s="190">
        <v>4517.8</v>
      </c>
      <c r="E180" s="191">
        <f t="shared" si="6"/>
        <v>4514.93</v>
      </c>
      <c r="F180" s="182">
        <f t="shared" si="7"/>
        <v>0.28700000000000003</v>
      </c>
      <c r="G180" s="182">
        <f t="shared" si="8"/>
        <v>2.5830000000000002</v>
      </c>
      <c r="H180" s="182">
        <f t="shared" si="9"/>
        <v>0.40180000000000005</v>
      </c>
      <c r="I180" s="182">
        <f t="shared" si="10"/>
        <v>3.0996000000000001</v>
      </c>
      <c r="J180" s="182">
        <f t="shared" si="11"/>
        <v>5421.36</v>
      </c>
      <c r="K180" s="182">
        <f t="shared" si="12"/>
        <v>1406.9340000000002</v>
      </c>
      <c r="L180" s="146" t="s">
        <v>273</v>
      </c>
    </row>
    <row r="181" spans="1:13" x14ac:dyDescent="0.2">
      <c r="A181" s="176" t="s">
        <v>279</v>
      </c>
      <c r="B181" s="189">
        <f>764.91-B182</f>
        <v>308.54999999999995</v>
      </c>
      <c r="C181" s="190">
        <f>107.94-C182</f>
        <v>36.899999999999991</v>
      </c>
      <c r="D181" s="190">
        <f>2.47-D182</f>
        <v>2.0900000000000003</v>
      </c>
      <c r="E181" s="191">
        <f t="shared" si="6"/>
        <v>34.809999999999988</v>
      </c>
      <c r="F181" s="182">
        <f t="shared" si="7"/>
        <v>3.6899999999999995</v>
      </c>
      <c r="G181" s="182">
        <f t="shared" si="8"/>
        <v>33.209999999999994</v>
      </c>
      <c r="H181" s="182">
        <f t="shared" si="9"/>
        <v>5.1659999999999986</v>
      </c>
      <c r="I181" s="182">
        <f t="shared" si="10"/>
        <v>39.85199999999999</v>
      </c>
      <c r="J181" s="182">
        <f t="shared" si="11"/>
        <v>2.5080000000000005</v>
      </c>
      <c r="K181" s="182">
        <f t="shared" si="12"/>
        <v>61.709999999999994</v>
      </c>
      <c r="L181" s="146" t="s">
        <v>281</v>
      </c>
    </row>
    <row r="182" spans="1:13" x14ac:dyDescent="0.2">
      <c r="A182" s="176" t="s">
        <v>280</v>
      </c>
      <c r="B182" s="189">
        <v>456.36</v>
      </c>
      <c r="C182" s="190">
        <v>71.040000000000006</v>
      </c>
      <c r="D182" s="190">
        <v>0.38</v>
      </c>
      <c r="E182" s="191">
        <f t="shared" ref="E182" si="41">IF(C182&gt;D182,C182-D182,D182-C182)</f>
        <v>70.660000000000011</v>
      </c>
      <c r="F182" s="182">
        <f t="shared" ref="F182" si="42">C182*0.1</f>
        <v>7.104000000000001</v>
      </c>
      <c r="G182" s="182">
        <f t="shared" ref="G182" si="43">C182-F182</f>
        <v>63.936000000000007</v>
      </c>
      <c r="H182" s="182">
        <f t="shared" ref="H182" si="44">F182*(1+$N$3)</f>
        <v>9.9456000000000007</v>
      </c>
      <c r="I182" s="182">
        <f t="shared" ref="I182" si="45">G182*(1+$N$2)</f>
        <v>76.723200000000006</v>
      </c>
      <c r="J182" s="182">
        <f t="shared" ref="J182" si="46">D182*(1+$N$2)</f>
        <v>0.45599999999999996</v>
      </c>
      <c r="K182" s="182">
        <f t="shared" ref="K182" si="47">B182*0.2</f>
        <v>91.272000000000006</v>
      </c>
      <c r="L182" s="146" t="s">
        <v>273</v>
      </c>
    </row>
    <row r="183" spans="1:13" x14ac:dyDescent="0.2">
      <c r="A183" s="176" t="s">
        <v>266</v>
      </c>
      <c r="B183" s="189">
        <v>795.17</v>
      </c>
      <c r="C183" s="190">
        <v>194.16</v>
      </c>
      <c r="D183" s="190">
        <v>11.95</v>
      </c>
      <c r="E183" s="191">
        <f t="shared" si="6"/>
        <v>182.21</v>
      </c>
      <c r="F183" s="182">
        <f t="shared" si="7"/>
        <v>19.416</v>
      </c>
      <c r="G183" s="182">
        <f t="shared" si="8"/>
        <v>174.744</v>
      </c>
      <c r="H183" s="182">
        <f t="shared" si="9"/>
        <v>27.182399999999998</v>
      </c>
      <c r="I183" s="182">
        <f t="shared" si="10"/>
        <v>209.69280000000001</v>
      </c>
      <c r="J183" s="182">
        <f t="shared" si="11"/>
        <v>14.339999999999998</v>
      </c>
      <c r="K183" s="182">
        <f t="shared" si="12"/>
        <v>159.03399999999999</v>
      </c>
      <c r="L183" s="146" t="s">
        <v>274</v>
      </c>
    </row>
    <row r="184" spans="1:13" x14ac:dyDescent="0.2">
      <c r="A184" s="183" t="s">
        <v>283</v>
      </c>
      <c r="B184" s="192"/>
      <c r="C184" s="193"/>
      <c r="D184" s="193"/>
      <c r="E184" s="194"/>
      <c r="F184" s="195"/>
      <c r="G184" s="195"/>
      <c r="H184" s="195"/>
      <c r="I184" s="195"/>
      <c r="J184" s="195"/>
      <c r="K184" s="195"/>
      <c r="L184" s="146" t="s">
        <v>273</v>
      </c>
      <c r="M184" s="32" t="s">
        <v>294</v>
      </c>
    </row>
    <row r="185" spans="1:13" x14ac:dyDescent="0.2">
      <c r="A185" s="198" t="s">
        <v>276</v>
      </c>
      <c r="B185" s="182">
        <v>1602.62</v>
      </c>
      <c r="C185" s="182">
        <v>0</v>
      </c>
      <c r="D185" s="182">
        <v>4243.32</v>
      </c>
      <c r="E185" s="182">
        <f t="shared" si="6"/>
        <v>4243.32</v>
      </c>
      <c r="F185" s="182">
        <f t="shared" si="7"/>
        <v>0</v>
      </c>
      <c r="G185" s="182">
        <f t="shared" si="8"/>
        <v>0</v>
      </c>
      <c r="H185" s="182">
        <f t="shared" si="9"/>
        <v>0</v>
      </c>
      <c r="I185" s="182">
        <f t="shared" si="10"/>
        <v>0</v>
      </c>
      <c r="J185" s="182">
        <f t="shared" si="11"/>
        <v>5091.9839999999995</v>
      </c>
      <c r="K185" s="182">
        <f t="shared" si="12"/>
        <v>320.524</v>
      </c>
      <c r="L185" s="146" t="s">
        <v>277</v>
      </c>
    </row>
    <row r="186" spans="1:13" ht="25.5" x14ac:dyDescent="0.2">
      <c r="A186" s="198" t="s">
        <v>278</v>
      </c>
      <c r="B186" s="182">
        <v>1957.83</v>
      </c>
      <c r="C186" s="182">
        <v>523.77</v>
      </c>
      <c r="D186" s="182">
        <v>19.21</v>
      </c>
      <c r="E186" s="182">
        <f t="shared" si="6"/>
        <v>504.56</v>
      </c>
      <c r="F186" s="182">
        <f>C186*0.2</f>
        <v>104.754</v>
      </c>
      <c r="G186" s="182">
        <f t="shared" ref="G186" si="48">C186-F186</f>
        <v>419.01599999999996</v>
      </c>
      <c r="H186" s="182">
        <f t="shared" ref="H186" si="49">F186*(1+$N$3)</f>
        <v>146.65559999999999</v>
      </c>
      <c r="I186" s="182">
        <f t="shared" ref="I186" si="50">G186*(1+$N$2)</f>
        <v>502.81919999999991</v>
      </c>
      <c r="J186" s="182">
        <f t="shared" ref="J186" si="51">D186*(1+$N$2)</f>
        <v>23.052</v>
      </c>
      <c r="K186" s="182"/>
      <c r="L186" s="146" t="s">
        <v>282</v>
      </c>
    </row>
    <row r="188" spans="1:13" x14ac:dyDescent="0.2">
      <c r="A188" s="129" t="s">
        <v>26</v>
      </c>
      <c r="C188" s="196">
        <f>SUM(C175,C185)</f>
        <v>508.07</v>
      </c>
      <c r="D188" s="196">
        <f t="shared" ref="D188:K188" si="52">SUM(D175,D185)</f>
        <v>4427.9399999999996</v>
      </c>
      <c r="E188" s="196">
        <f t="shared" si="52"/>
        <v>4566.7699999999995</v>
      </c>
      <c r="F188" s="196">
        <f t="shared" si="52"/>
        <v>50.807000000000002</v>
      </c>
      <c r="G188" s="196">
        <f t="shared" si="52"/>
        <v>457.26299999999998</v>
      </c>
      <c r="H188" s="196">
        <f t="shared" si="52"/>
        <v>71.129800000000003</v>
      </c>
      <c r="I188" s="196">
        <f t="shared" si="52"/>
        <v>548.71559999999999</v>
      </c>
      <c r="J188" s="196">
        <f t="shared" si="52"/>
        <v>5313.5279999999993</v>
      </c>
      <c r="K188" s="196">
        <f t="shared" si="52"/>
        <v>1169.962</v>
      </c>
      <c r="L188" s="146" t="s">
        <v>277</v>
      </c>
    </row>
    <row r="189" spans="1:13" x14ac:dyDescent="0.2">
      <c r="A189" s="129" t="s">
        <v>26</v>
      </c>
      <c r="C189" s="196">
        <f>SUM(C176,C181)</f>
        <v>81.11999999999999</v>
      </c>
      <c r="D189" s="196">
        <f t="shared" ref="D189:K189" si="53">SUM(D176,D181)</f>
        <v>2.6200000000000299</v>
      </c>
      <c r="E189" s="196">
        <f t="shared" si="53"/>
        <v>78.499999999999957</v>
      </c>
      <c r="F189" s="196">
        <f t="shared" si="53"/>
        <v>8.1119999999999983</v>
      </c>
      <c r="G189" s="196">
        <f t="shared" si="53"/>
        <v>73.007999999999996</v>
      </c>
      <c r="H189" s="196">
        <f t="shared" si="53"/>
        <v>11.356799999999998</v>
      </c>
      <c r="I189" s="196">
        <f t="shared" si="53"/>
        <v>87.6096</v>
      </c>
      <c r="J189" s="196">
        <f t="shared" si="53"/>
        <v>3.1440000000000357</v>
      </c>
      <c r="K189" s="196">
        <f t="shared" si="53"/>
        <v>94.815999999999946</v>
      </c>
      <c r="L189" s="146" t="s">
        <v>281</v>
      </c>
    </row>
    <row r="190" spans="1:13" x14ac:dyDescent="0.2">
      <c r="A190" s="129" t="s">
        <v>26</v>
      </c>
      <c r="C190" s="196">
        <f t="shared" ref="C190:K190" si="54">SUM(C164,C167,C169,C172,C177,C183)</f>
        <v>557.89</v>
      </c>
      <c r="D190" s="196">
        <f t="shared" si="54"/>
        <v>269.3</v>
      </c>
      <c r="E190" s="196">
        <f t="shared" si="54"/>
        <v>614.99</v>
      </c>
      <c r="F190" s="196">
        <f t="shared" si="54"/>
        <v>55.789000000000001</v>
      </c>
      <c r="G190" s="196">
        <f t="shared" si="54"/>
        <v>502.101</v>
      </c>
      <c r="H190" s="196">
        <f t="shared" si="54"/>
        <v>78.104600000000005</v>
      </c>
      <c r="I190" s="196">
        <f t="shared" si="54"/>
        <v>602.52120000000002</v>
      </c>
      <c r="J190" s="196">
        <f t="shared" si="54"/>
        <v>323.15999999999997</v>
      </c>
      <c r="K190" s="196">
        <f t="shared" si="54"/>
        <v>486.01200000000011</v>
      </c>
      <c r="L190" s="146" t="s">
        <v>274</v>
      </c>
    </row>
    <row r="191" spans="1:13" x14ac:dyDescent="0.2">
      <c r="A191" s="129" t="s">
        <v>26</v>
      </c>
      <c r="B191" s="196">
        <f t="shared" ref="B191:K191" si="55">SUM(B165:B166,B168,B170,B171,B173:B174,B178:B180,B182,B184)</f>
        <v>13961.39</v>
      </c>
      <c r="C191" s="196">
        <f t="shared" si="55"/>
        <v>1163.75</v>
      </c>
      <c r="D191" s="196">
        <f t="shared" si="55"/>
        <v>6645.55</v>
      </c>
      <c r="E191" s="196">
        <f t="shared" si="55"/>
        <v>7227.7800000000007</v>
      </c>
      <c r="F191" s="196">
        <f t="shared" si="55"/>
        <v>116.37500000000001</v>
      </c>
      <c r="G191" s="196">
        <f t="shared" si="55"/>
        <v>1047.375</v>
      </c>
      <c r="H191" s="196">
        <f t="shared" si="55"/>
        <v>162.92499999999998</v>
      </c>
      <c r="I191" s="196">
        <f t="shared" si="55"/>
        <v>1256.8499999999999</v>
      </c>
      <c r="J191" s="196">
        <f t="shared" si="55"/>
        <v>7974.66</v>
      </c>
      <c r="K191" s="196">
        <f t="shared" si="55"/>
        <v>2792.2780000000002</v>
      </c>
      <c r="L191" s="146" t="s">
        <v>273</v>
      </c>
    </row>
    <row r="192" spans="1:13" x14ac:dyDescent="0.2">
      <c r="A192" s="129" t="s">
        <v>26</v>
      </c>
      <c r="C192" s="196">
        <f>C186</f>
        <v>523.77</v>
      </c>
      <c r="D192" s="196">
        <f t="shared" ref="D192:K192" si="56">D186</f>
        <v>19.21</v>
      </c>
      <c r="E192" s="196">
        <f t="shared" si="56"/>
        <v>504.56</v>
      </c>
      <c r="F192" s="196">
        <f t="shared" si="56"/>
        <v>104.754</v>
      </c>
      <c r="G192" s="196">
        <f t="shared" si="56"/>
        <v>419.01599999999996</v>
      </c>
      <c r="H192" s="196">
        <f t="shared" si="56"/>
        <v>146.65559999999999</v>
      </c>
      <c r="I192" s="196">
        <f t="shared" si="56"/>
        <v>502.81919999999991</v>
      </c>
      <c r="J192" s="196">
        <f t="shared" si="56"/>
        <v>23.052</v>
      </c>
      <c r="K192" s="196">
        <f t="shared" si="56"/>
        <v>0</v>
      </c>
      <c r="L192" s="146" t="s">
        <v>282</v>
      </c>
    </row>
    <row r="193" spans="3:5" x14ac:dyDescent="0.2">
      <c r="C193" s="196">
        <f>SUM(C188:C192)</f>
        <v>2834.6</v>
      </c>
      <c r="D193" s="196">
        <f>SUM(D188:D192)</f>
        <v>11364.619999999999</v>
      </c>
      <c r="E193" s="196">
        <f>D193-C193</f>
        <v>8530.0199999999986</v>
      </c>
    </row>
  </sheetData>
  <mergeCells count="6">
    <mergeCell ref="A96:A158"/>
    <mergeCell ref="A5:A19"/>
    <mergeCell ref="E21:G21"/>
    <mergeCell ref="H21:J21"/>
    <mergeCell ref="A26:A66"/>
    <mergeCell ref="A69:A93"/>
  </mergeCells>
  <phoneticPr fontId="22" type="noConversion"/>
  <conditionalFormatting sqref="A164:L192">
    <cfRule type="expression" dxfId="4" priority="1" stopIfTrue="1">
      <formula>$L164="etapa 3b"</formula>
    </cfRule>
    <cfRule type="expression" dxfId="3" priority="2" stopIfTrue="1">
      <formula>$L164="etapa 0"</formula>
    </cfRule>
    <cfRule type="expression" dxfId="2" priority="3" stopIfTrue="1">
      <formula>$L164="etapa 1"</formula>
    </cfRule>
    <cfRule type="expression" dxfId="1" priority="4" stopIfTrue="1">
      <formula>$L164="etapa 3"</formula>
    </cfRule>
    <cfRule type="expression" dxfId="0" priority="5" stopIfTrue="1">
      <formula>$L164="etapa 2"</formula>
    </cfRule>
  </conditionalFormatting>
  <pageMargins left="0.7" right="0.7" top="0.75" bottom="0.75" header="0.3" footer="0.3"/>
  <pageSetup paperSize="9" orientation="portrait" r:id="rId1"/>
  <ignoredErrors>
    <ignoredError sqref="C191:D19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5</vt:i4>
      </vt:variant>
    </vt:vector>
  </HeadingPairs>
  <TitlesOfParts>
    <vt:vector size="9" baseType="lpstr">
      <vt:lpstr>REKAPITULACIJA</vt:lpstr>
      <vt:lpstr>Sončna pot</vt:lpstr>
      <vt:lpstr>Javna cesta</vt:lpstr>
      <vt:lpstr>IZKOPI</vt:lpstr>
      <vt:lpstr>'Javna cesta'!Področje_tiskanja</vt:lpstr>
      <vt:lpstr>REKAPITULACIJA!Področje_tiskanja</vt:lpstr>
      <vt:lpstr>'Sončna pot'!Področje_tiskanja</vt:lpstr>
      <vt:lpstr>'Javna cesta'!Tiskanje_naslovov</vt:lpstr>
      <vt:lpstr>'Sončna pot'!Tiskanje_naslovov</vt:lpstr>
    </vt:vector>
  </TitlesOfParts>
  <Company>___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x; Miha Zorn</dc:creator>
  <cp:lastModifiedBy>Miha Zorn</cp:lastModifiedBy>
  <cp:lastPrinted>2023-05-12T05:44:51Z</cp:lastPrinted>
  <dcterms:created xsi:type="dcterms:W3CDTF">2004-11-18T13:58:29Z</dcterms:created>
  <dcterms:modified xsi:type="dcterms:W3CDTF">2023-08-30T16:26:32Z</dcterms:modified>
</cp:coreProperties>
</file>