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5\2351 ČERINOVA ULICA\06 PZI\2.1 NAČRT GRADBENIŠTVA\01 TEKST\05 POPIS\"/>
    </mc:Choice>
  </mc:AlternateContent>
  <xr:revisionPtr revIDLastSave="0" documentId="13_ncr:1_{FE66EE78-0658-4A01-9CA6-08338F2D1A05}" xr6:coauthVersionLast="47" xr6:coauthVersionMax="47" xr10:uidLastSave="{00000000-0000-0000-0000-000000000000}"/>
  <bookViews>
    <workbookView xWindow="28680" yWindow="-120" windowWidth="29040" windowHeight="15720" tabRatio="878" xr2:uid="{00000000-000D-0000-FFFF-FFFF00000000}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PREDDELA'!$B$15</definedName>
    <definedName name="_1.3_Ostala_preddela">'1. PREDDELA'!$B$51</definedName>
    <definedName name="_1.4_Predhodna_dela">'1. PREDDELA'!#REF!</definedName>
    <definedName name="_1.5_Geotehnika_predorov">'1. PREDDELA'!#REF!</definedName>
    <definedName name="_1_preddela_1" localSheetId="1">'1. PREDDELA'!$B$2:$F$65</definedName>
    <definedName name="_1_preddela_1" localSheetId="2">'2. ZEMELJSKA DELA'!$B$2:$F$45</definedName>
    <definedName name="_1_preddela_1" localSheetId="3">'3. VOZIŠČNE KONSTRUKCIJE'!$B$2:$F$45</definedName>
    <definedName name="_1_preddela_1" localSheetId="4">'4. ODVODNJAVANJE'!$B$2:$F$43</definedName>
    <definedName name="_1_preddela_1" localSheetId="5">'5. GRADBENA IN OBRTNIŠKA DELA'!$B$2:$F$23</definedName>
    <definedName name="_1_preddela_1" localSheetId="6">'6. OPREMA CEST'!$B$2:$F$28</definedName>
    <definedName name="_1_preddela_1" localSheetId="7">'7. TUJE STORITVE'!$B$2:$F$34</definedName>
    <definedName name="_2.1_Izkopi">'2. ZEMELJSKA DELA'!$B$6</definedName>
    <definedName name="_2.2_Planum_tal">'2. ZEMELJSKA DELA'!$B$15</definedName>
    <definedName name="_2.3_ločilne_drenažne_filterske_plasti">'2. ZEMELJSKA DELA'!$B$20</definedName>
    <definedName name="_2.4_Nasipi_zasipi_posteljica">'2. ZEMELJSKA DELA'!$B$24</definedName>
    <definedName name="_2.5_Brežine_zelenice">'2. ZEMELJSKA DELA'!$B$32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DELA'!$B$37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KONSTRUKCIJE'!$B$29</definedName>
    <definedName name="_3.5_Robni_elementi_vozišč">'3. VOZIŠČNE KONSTRUKCIJE'!$B$33</definedName>
    <definedName name="_4.1_Površinsko_odvodnjavanje">'4. ODVODNJAVANJE'!$B$6</definedName>
    <definedName name="_4.2_Drenaže">'4. ODVODNJAVANJE'!#REF!</definedName>
    <definedName name="_4.3_Kanalizacija">'4. ODVODNJAVANJE'!$B$15</definedName>
    <definedName name="_4.4_Jaški">'4. ODVODNJAVANJE'!$B$31</definedName>
    <definedName name="_4.5_Prepusti">'4. ODVODNJAVANJE'!#REF!</definedName>
    <definedName name="_4.6_Izviri_ponikovalnice">'4. ODVODNJAVANJE'!#REF!</definedName>
    <definedName name="_5.1_Tesarska_dela">'5. GRADBENA IN OBRTNIŠKA DELA'!$B$6</definedName>
    <definedName name="_5.2_Dela_z_jeklom">'5. GRADBENA IN OBRTNIŠKA DELA'!$B$10</definedName>
    <definedName name="_5.3_Dela_z_cementnim_betonom">'5. GRADBENA IN OBRTNIŠKA DELA'!$B$15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CEST'!$B$15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STORITVE'!$B$14</definedName>
    <definedName name="_7.6_vodovod">'7. TUJE STORITVE'!$B$18</definedName>
    <definedName name="_7.7_Plinovod">'7. TUJE STORITVE'!$B$22</definedName>
    <definedName name="_7.8_Železnica">'7. TUJE STORITVE'!#REF!</definedName>
    <definedName name="_7.9_Preizkusi_nadzor_dokumentacija">'7. TUJE STORITVE'!$B$26</definedName>
    <definedName name="_xlnm._FilterDatabase" localSheetId="1" hidden="1">'1. PREDDELA'!$E$1:$G$65</definedName>
    <definedName name="_xlnm._FilterDatabase" localSheetId="2" hidden="1">'2. ZEMELJSKA DELA'!$E$1:$G$45</definedName>
    <definedName name="_xlnm._FilterDatabase" localSheetId="3" hidden="1">'3. VOZIŠČNE KONSTRUKCIJE'!$E$1:$G$45</definedName>
    <definedName name="_xlnm._FilterDatabase" localSheetId="4" hidden="1">'4. ODVODNJAVANJE'!$E$1:$G$43</definedName>
    <definedName name="_xlnm._FilterDatabase" localSheetId="5" hidden="1">'5. GRADBENA IN OBRTNIŠKA DELA'!$E$1:$G$23</definedName>
    <definedName name="_xlnm._FilterDatabase" localSheetId="6" hidden="1">'6. OPREMA CEST'!$E$1:$G$28</definedName>
    <definedName name="_xlnm._FilterDatabase" localSheetId="7" hidden="1">'7. TUJE STORITVE'!$E$1:$G$34</definedName>
    <definedName name="Čiščenje_terena_1.2">'1. PREDDELA'!$B$15</definedName>
    <definedName name="Geodetska_dela_1.1">'1. PREDDELA'!$B$6</definedName>
    <definedName name="iri_ponikovalnice">'4. ODVODNJAVANJE'!#REF!</definedName>
    <definedName name="Ostala_preddela_1.3">'1. PREDDELA'!$B$51</definedName>
    <definedName name="_xlnm.Print_Area" localSheetId="2">'2. ZEMELJSKA DELA'!$A$1:$G$45</definedName>
    <definedName name="_xlnm.Print_Area" localSheetId="4">'4. ODVODNJAVANJE'!$A$1:$G$43</definedName>
    <definedName name="_xlnm.Print_Area" localSheetId="5">'5. GRADBENA IN OBRTNIŠKA DELA'!$A$1:$G$23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81029"/>
</workbook>
</file>

<file path=xl/calcChain.xml><?xml version="1.0" encoding="utf-8"?>
<calcChain xmlns="http://schemas.openxmlformats.org/spreadsheetml/2006/main">
  <c r="E24" i="6" l="1"/>
  <c r="E23" i="6"/>
  <c r="E33" i="6"/>
  <c r="M30" i="4"/>
  <c r="E11" i="4"/>
  <c r="E13" i="4"/>
  <c r="L30" i="4"/>
  <c r="E29" i="4"/>
  <c r="E18" i="4"/>
  <c r="E12" i="2"/>
  <c r="E37" i="6" l="1"/>
  <c r="E34" i="6" l="1"/>
  <c r="E22" i="6"/>
  <c r="E19" i="6"/>
  <c r="E17" i="7" l="1"/>
  <c r="G12" i="7"/>
  <c r="E8" i="7"/>
  <c r="E36" i="6"/>
  <c r="E21" i="8"/>
  <c r="E11" i="2"/>
  <c r="G13" i="2"/>
  <c r="G12" i="2"/>
  <c r="E18" i="8" l="1"/>
  <c r="E19" i="8"/>
  <c r="E22" i="8"/>
  <c r="E23" i="8"/>
  <c r="E24" i="8"/>
  <c r="E17" i="8"/>
  <c r="E26" i="8"/>
  <c r="E20" i="8"/>
  <c r="G28" i="6" l="1"/>
  <c r="G29" i="4"/>
  <c r="G30" i="4"/>
  <c r="E29" i="6"/>
  <c r="G29" i="6" s="1"/>
  <c r="E20" i="6"/>
  <c r="E35" i="6" l="1"/>
  <c r="K17" i="6"/>
  <c r="K18" i="6"/>
  <c r="E43" i="5"/>
  <c r="E38" i="5"/>
  <c r="E20" i="5"/>
  <c r="E14" i="5"/>
  <c r="E25" i="5" s="1"/>
  <c r="E10" i="5"/>
  <c r="E9" i="5"/>
  <c r="E43" i="2"/>
  <c r="E21" i="5" l="1"/>
  <c r="E27" i="4"/>
  <c r="E28" i="4"/>
  <c r="E17" i="4"/>
  <c r="E22" i="4" s="1"/>
  <c r="G18" i="4"/>
  <c r="E12" i="4" l="1"/>
  <c r="E10" i="4"/>
  <c r="E41" i="4" s="1"/>
  <c r="E26" i="4" l="1"/>
  <c r="E9" i="4" l="1"/>
  <c r="E8" i="4"/>
  <c r="E24" i="2"/>
  <c r="E42" i="2"/>
  <c r="E40" i="2"/>
  <c r="E41" i="2"/>
  <c r="E39" i="2"/>
  <c r="E38" i="2"/>
  <c r="E37" i="2"/>
  <c r="E34" i="2"/>
  <c r="E23" i="2"/>
  <c r="E27" i="2"/>
  <c r="E43" i="4" l="1"/>
  <c r="E32" i="2"/>
  <c r="E33" i="2"/>
  <c r="E31" i="2"/>
  <c r="E42" i="4" l="1"/>
  <c r="E8" i="2"/>
  <c r="G26" i="8" l="1"/>
  <c r="G25" i="8"/>
  <c r="G24" i="8"/>
  <c r="G23" i="8"/>
  <c r="G22" i="8"/>
  <c r="G21" i="8"/>
  <c r="G20" i="8"/>
  <c r="G19" i="8"/>
  <c r="G18" i="8"/>
  <c r="G17" i="8"/>
  <c r="G31" i="9" l="1"/>
  <c r="G32" i="9" l="1"/>
  <c r="G11" i="6" l="1"/>
  <c r="G31" i="5" l="1"/>
  <c r="E25" i="6" l="1"/>
  <c r="G27" i="6" l="1"/>
  <c r="E11" i="7" l="1"/>
  <c r="E10" i="7"/>
  <c r="E9" i="7"/>
  <c r="E15" i="9" l="1"/>
  <c r="E13" i="9"/>
  <c r="E27" i="5" l="1"/>
  <c r="E36" i="2" l="1"/>
  <c r="E30" i="5"/>
  <c r="E29" i="5"/>
  <c r="E28" i="5"/>
  <c r="E9" i="6" l="1"/>
  <c r="E35" i="2" l="1"/>
  <c r="E40" i="4" s="1"/>
  <c r="E39" i="4" s="1"/>
  <c r="G26" i="6" l="1"/>
  <c r="E26" i="5"/>
  <c r="E7" i="9" l="1"/>
  <c r="E5" i="9"/>
  <c r="E35" i="4"/>
  <c r="E5" i="4" l="1"/>
  <c r="E11" i="9" l="1"/>
  <c r="E10" i="9"/>
  <c r="E9" i="9" l="1"/>
  <c r="E14" i="9" l="1"/>
  <c r="E9" i="2" l="1"/>
  <c r="G16" i="9" l="1"/>
  <c r="E6" i="6" l="1"/>
  <c r="E5" i="6"/>
  <c r="E7" i="6"/>
  <c r="G13" i="6"/>
  <c r="G12" i="6"/>
  <c r="G10" i="6"/>
  <c r="G9" i="6"/>
  <c r="G8" i="6"/>
  <c r="G41" i="6"/>
  <c r="G55" i="2" l="1"/>
  <c r="G13" i="7" l="1"/>
  <c r="G28" i="9" l="1"/>
  <c r="G29" i="9"/>
  <c r="G30" i="9"/>
  <c r="G24" i="9"/>
  <c r="G20" i="9"/>
  <c r="G12" i="9"/>
  <c r="G8" i="9"/>
  <c r="G8" i="8"/>
  <c r="G9" i="8"/>
  <c r="G10" i="8"/>
  <c r="G11" i="8"/>
  <c r="G12" i="8"/>
  <c r="G13" i="8"/>
  <c r="G17" i="7"/>
  <c r="G18" i="7"/>
  <c r="G19" i="7"/>
  <c r="G20" i="7"/>
  <c r="G21" i="7"/>
  <c r="G8" i="7"/>
  <c r="G39" i="4"/>
  <c r="G40" i="4"/>
  <c r="G41" i="4"/>
  <c r="G42" i="4"/>
  <c r="G43" i="4"/>
  <c r="G33" i="6"/>
  <c r="G34" i="6"/>
  <c r="G35" i="6"/>
  <c r="G36" i="6"/>
  <c r="G37" i="6"/>
  <c r="G38" i="6"/>
  <c r="G39" i="6"/>
  <c r="G40" i="6"/>
  <c r="G17" i="6"/>
  <c r="G18" i="6"/>
  <c r="G19" i="6"/>
  <c r="G20" i="6"/>
  <c r="G21" i="6"/>
  <c r="G22" i="6"/>
  <c r="G23" i="6"/>
  <c r="G24" i="6"/>
  <c r="G25" i="6"/>
  <c r="G43" i="5"/>
  <c r="G38" i="5"/>
  <c r="G39" i="5"/>
  <c r="G37" i="5"/>
  <c r="G25" i="5"/>
  <c r="G26" i="5"/>
  <c r="G27" i="5"/>
  <c r="G20" i="5"/>
  <c r="G21" i="5"/>
  <c r="G14" i="5"/>
  <c r="G9" i="5"/>
  <c r="G10" i="5"/>
  <c r="G34" i="4"/>
  <c r="G35" i="4"/>
  <c r="G26" i="4"/>
  <c r="G27" i="4"/>
  <c r="G28" i="4"/>
  <c r="G22" i="4"/>
  <c r="G17" i="4"/>
  <c r="G8" i="4"/>
  <c r="G9" i="4"/>
  <c r="G10" i="4"/>
  <c r="G11" i="4"/>
  <c r="G12" i="4"/>
  <c r="G13" i="4"/>
  <c r="G63" i="2"/>
  <c r="G62" i="2"/>
  <c r="G58" i="2"/>
  <c r="G54" i="2"/>
  <c r="G47" i="2"/>
  <c r="G48" i="2"/>
  <c r="G49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24" i="2"/>
  <c r="G25" i="2"/>
  <c r="G26" i="2"/>
  <c r="G27" i="2"/>
  <c r="G23" i="2"/>
  <c r="G18" i="2"/>
  <c r="G19" i="2"/>
  <c r="G8" i="2"/>
  <c r="G9" i="2"/>
  <c r="G10" i="2"/>
  <c r="G11" i="2"/>
  <c r="E27" i="9"/>
  <c r="E26" i="9"/>
  <c r="E25" i="9"/>
  <c r="E23" i="9"/>
  <c r="E22" i="9"/>
  <c r="E21" i="9"/>
  <c r="E19" i="9"/>
  <c r="E18" i="9"/>
  <c r="E6" i="9"/>
  <c r="E16" i="8"/>
  <c r="E15" i="8"/>
  <c r="E14" i="8"/>
  <c r="E7" i="8"/>
  <c r="E6" i="8"/>
  <c r="E5" i="8"/>
  <c r="E16" i="7"/>
  <c r="E15" i="7"/>
  <c r="E14" i="7"/>
  <c r="E7" i="7"/>
  <c r="E6" i="7"/>
  <c r="E5" i="7"/>
  <c r="E42" i="5"/>
  <c r="E41" i="5"/>
  <c r="E40" i="5"/>
  <c r="E36" i="5"/>
  <c r="E35" i="5"/>
  <c r="E34" i="5"/>
  <c r="E24" i="5"/>
  <c r="E23" i="5"/>
  <c r="E22" i="5"/>
  <c r="E19" i="5"/>
  <c r="E18" i="5"/>
  <c r="E17" i="5"/>
  <c r="E13" i="5"/>
  <c r="E12" i="5"/>
  <c r="E8" i="5"/>
  <c r="E7" i="5"/>
  <c r="E33" i="4"/>
  <c r="E32" i="4"/>
  <c r="E31" i="4"/>
  <c r="E25" i="4"/>
  <c r="E24" i="4"/>
  <c r="E21" i="4"/>
  <c r="E20" i="4"/>
  <c r="E19" i="4"/>
  <c r="E7" i="4"/>
  <c r="E6" i="4"/>
  <c r="E61" i="2"/>
  <c r="E60" i="2"/>
  <c r="E59" i="2"/>
  <c r="E57" i="2"/>
  <c r="E56" i="2"/>
  <c r="E53" i="2"/>
  <c r="E52" i="2"/>
  <c r="E46" i="2"/>
  <c r="E44" i="2"/>
  <c r="E45" i="2"/>
  <c r="E30" i="2"/>
  <c r="E29" i="2"/>
  <c r="E28" i="2"/>
  <c r="E20" i="2"/>
  <c r="E21" i="2"/>
  <c r="E22" i="2"/>
  <c r="E17" i="2"/>
  <c r="E16" i="2"/>
  <c r="E7" i="2"/>
  <c r="E6" i="2"/>
  <c r="E5" i="2"/>
  <c r="E17" i="9" l="1"/>
  <c r="G5" i="6"/>
  <c r="G7" i="6"/>
  <c r="G6" i="6"/>
  <c r="E14" i="2"/>
  <c r="E15" i="2"/>
  <c r="F43" i="6" l="1"/>
  <c r="F28" i="8"/>
  <c r="H24" i="1" s="1"/>
  <c r="F45" i="4"/>
  <c r="H16" i="1" s="1"/>
  <c r="F23" i="7" l="1"/>
  <c r="H22" i="1" s="1"/>
  <c r="F45" i="5"/>
  <c r="H18" i="1" s="1"/>
  <c r="F65" i="2"/>
  <c r="H14" i="1" s="1"/>
  <c r="H20" i="1"/>
  <c r="F34" i="9" l="1"/>
  <c r="H26" i="1" s="1"/>
  <c r="H28" i="1" s="1"/>
  <c r="H31" i="1" l="1"/>
  <c r="H33" i="1" s="1"/>
  <c r="H36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xr16:uid="{00000000-0015-0000-FFFF-FFFF01000000}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xr16:uid="{00000000-0015-0000-FFFF-FFFF02000000}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xr16:uid="{00000000-0015-0000-FFFF-FFFF03000000}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xr16:uid="{00000000-0015-0000-FFFF-FFFF04000000}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xr16:uid="{00000000-0015-0000-FFFF-FFFF05000000}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xr16:uid="{00000000-0015-0000-FFFF-FFFF06000000}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<sst xmlns="http://schemas.openxmlformats.org/spreadsheetml/2006/main" count="512" uniqueCount="350">
  <si>
    <t>1.   PREDDELA</t>
  </si>
  <si>
    <t>km</t>
  </si>
  <si>
    <t>11 121</t>
  </si>
  <si>
    <t>11 131</t>
  </si>
  <si>
    <t>kos</t>
  </si>
  <si>
    <t>11 221</t>
  </si>
  <si>
    <t>11 631</t>
  </si>
  <si>
    <t>ura</t>
  </si>
  <si>
    <t>m2</t>
  </si>
  <si>
    <t>12 112</t>
  </si>
  <si>
    <t>12 211</t>
  </si>
  <si>
    <t>m1</t>
  </si>
  <si>
    <t>12 245</t>
  </si>
  <si>
    <t>12 278</t>
  </si>
  <si>
    <t>12 286</t>
  </si>
  <si>
    <t>m3</t>
  </si>
  <si>
    <t>12 321</t>
  </si>
  <si>
    <t>12 322</t>
  </si>
  <si>
    <t>12 323</t>
  </si>
  <si>
    <t>12 371</t>
  </si>
  <si>
    <t>12 372</t>
  </si>
  <si>
    <t>12 373</t>
  </si>
  <si>
    <t>12 381</t>
  </si>
  <si>
    <t>12 382</t>
  </si>
  <si>
    <t>12 383</t>
  </si>
  <si>
    <t>12 391</t>
  </si>
  <si>
    <t>12 392</t>
  </si>
  <si>
    <t>12 393</t>
  </si>
  <si>
    <t>12 396</t>
  </si>
  <si>
    <t>12 426</t>
  </si>
  <si>
    <t>12 431</t>
  </si>
  <si>
    <t>12 498</t>
  </si>
  <si>
    <t>dan</t>
  </si>
  <si>
    <t>13 113</t>
  </si>
  <si>
    <t>13 211</t>
  </si>
  <si>
    <t>13 311</t>
  </si>
  <si>
    <t>13 312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</si>
  <si>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</si>
  <si>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</si>
  <si>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</si>
  <si>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</si>
  <si>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</si>
  <si>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</si>
  <si>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</si>
  <si>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</si>
  <si>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1.3.2 Pripravljalna dela pri objektih</t>
  </si>
  <si>
    <t>1.3.3 Začasni objekti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</si>
  <si>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</si>
  <si>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</si>
  <si>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</si>
  <si>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</si>
  <si>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</si>
  <si>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</si>
  <si>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</si>
  <si>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</si>
  <si>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</si>
  <si>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</si>
  <si>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</si>
  <si>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redko porasli površini (do 50 % pokritega tlorisa) - strojno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</si>
  <si>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</si>
  <si>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</si>
  <si>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</si>
  <si>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</si>
  <si>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</si>
  <si>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</si>
  <si>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21 313</t>
  </si>
  <si>
    <t>21 314</t>
  </si>
  <si>
    <t>21 323</t>
  </si>
  <si>
    <t>21 324</t>
  </si>
  <si>
    <t>22 112</t>
  </si>
  <si>
    <t>23 313</t>
  </si>
  <si>
    <t>24 112</t>
  </si>
  <si>
    <t>24 461</t>
  </si>
  <si>
    <t>24 612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</si>
  <si>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</si>
  <si>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</si>
  <si>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</si>
  <si>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</si>
  <si>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</si>
  <si>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</si>
  <si>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</si>
  <si>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</si>
  <si>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</si>
  <si>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</si>
  <si>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</si>
  <si>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ročno,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</si>
  <si>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</si>
  <si>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</si>
  <si>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14 do 16 kN/m2
</t>
  </si>
  <si>
    <t xml:space="preserve">Izdelava posteljice v debelini plasti do 50 cm iz zrnate kamnine – 3. kategorije
</t>
  </si>
  <si>
    <t xml:space="preserve">Ureditev planuma nasipa, zasipa, klina ali posteljice iz zrnate kamnine – 3. kategorije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</si>
  <si>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</si>
  <si>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</si>
  <si>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</si>
  <si>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</si>
  <si>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</si>
  <si>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</si>
  <si>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</si>
  <si>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</si>
  <si>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4.1  Površinsko odvodnjavanje</t>
  </si>
  <si>
    <t>4.3  Globinsko odvodnjavanje - kanalizacija</t>
  </si>
  <si>
    <t>43 231</t>
  </si>
  <si>
    <t>43 232</t>
  </si>
  <si>
    <t>43 264</t>
  </si>
  <si>
    <t>43 272</t>
  </si>
  <si>
    <t>43 274</t>
  </si>
  <si>
    <t>43 511</t>
  </si>
  <si>
    <t>43 831</t>
  </si>
  <si>
    <t>43 832</t>
  </si>
  <si>
    <t>43 841</t>
  </si>
  <si>
    <t>4.4  Jaški</t>
  </si>
  <si>
    <t>44 333</t>
  </si>
  <si>
    <t>44 542</t>
  </si>
  <si>
    <t>44 797</t>
  </si>
  <si>
    <t>44 799</t>
  </si>
  <si>
    <t>44 972</t>
  </si>
  <si>
    <t>44 973</t>
  </si>
  <si>
    <t>44 992</t>
  </si>
  <si>
    <t>5.   GRADBENA IN OBRTNIŠKA DELA</t>
  </si>
  <si>
    <t>5.1  Tesarska dela</t>
  </si>
  <si>
    <t>51 212</t>
  </si>
  <si>
    <t>5.2  Dela z jeklom za ojačitev</t>
  </si>
  <si>
    <t>52 762</t>
  </si>
  <si>
    <t>5.3  Dela s cementnim betonom</t>
  </si>
  <si>
    <t>53 138</t>
  </si>
  <si>
    <t>53 614</t>
  </si>
  <si>
    <t>53 621</t>
  </si>
  <si>
    <t>53 635</t>
  </si>
  <si>
    <t>53 672</t>
  </si>
  <si>
    <t>SKUPAJ GRADBENA IN OBRTNIŠKA DELA:</t>
  </si>
  <si>
    <t>SKUPAJ ODVODNJAVANJE:</t>
  </si>
  <si>
    <t>SKUPAJ VOZIŠČNE KONSTRUKCIJE:</t>
  </si>
  <si>
    <t>3.1  Nosilne plasti</t>
  </si>
  <si>
    <t xml:space="preserve">Dobava in vgraditev cementnega betona C30/37 v prerez od 0,31 do 0,50 m3/m2-m1
</t>
  </si>
  <si>
    <t xml:space="preserve">Doplačilo za zagotovitev kvalitete cementnega betona C 30/37 za stopnjo izpostavljenosti XC4
</t>
  </si>
  <si>
    <t xml:space="preserve">Doplačilo za zagotovitev kvalitete cementnega betona C 30/37 za stopnjo izpostavljenosti XD1
</t>
  </si>
  <si>
    <t xml:space="preserve">Doplačilo za zagotovitev kvalitete cementnega betona C 30/37 za stopnjo izpostavljenosti XF4
</t>
  </si>
  <si>
    <t xml:space="preserve">Doplačilo za zagotovitev kvalitete cementnega betona C 30/37 za stopnjo izpostavljenosti PV-II
</t>
  </si>
  <si>
    <t>SKUPAJ OPREMA CEST:</t>
  </si>
  <si>
    <t>6.   OPREMA CEST</t>
  </si>
  <si>
    <t>6.1  Pokončna oprema cest</t>
  </si>
  <si>
    <t>61 217</t>
  </si>
  <si>
    <t>61 612</t>
  </si>
  <si>
    <t>61 622</t>
  </si>
  <si>
    <t>61 712</t>
  </si>
  <si>
    <t>61 713</t>
  </si>
  <si>
    <t>6.2  Označbe na voziščih</t>
  </si>
  <si>
    <t>62 163</t>
  </si>
  <si>
    <t>62 222</t>
  </si>
  <si>
    <t>62 412</t>
  </si>
  <si>
    <t>62 414</t>
  </si>
  <si>
    <t>62 425</t>
  </si>
  <si>
    <t>62 426</t>
  </si>
  <si>
    <t>62 428</t>
  </si>
  <si>
    <t>62 472</t>
  </si>
  <si>
    <t>62 623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</si>
  <si>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</si>
  <si>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</si>
  <si>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</si>
  <si>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</si>
  <si>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</si>
  <si>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</si>
  <si>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7.5  Javna razsvetljava</t>
  </si>
  <si>
    <t>7.6  Vodovodi</t>
  </si>
  <si>
    <t>76 111</t>
  </si>
  <si>
    <t>7.7  Plinovodi</t>
  </si>
  <si>
    <t>77 111</t>
  </si>
  <si>
    <t>7.9  Preizkusi, nadzor in tehnična dokumentacija</t>
  </si>
  <si>
    <t>79 311</t>
  </si>
  <si>
    <t>ur</t>
  </si>
  <si>
    <t>79 321</t>
  </si>
  <si>
    <t>79 351</t>
  </si>
  <si>
    <t>31 132</t>
  </si>
  <si>
    <t>31 181</t>
  </si>
  <si>
    <t>3.1.4-6 Asfaltne nosilne plasti - Asphalt concrete - base (AC base)</t>
  </si>
  <si>
    <t>31 552</t>
  </si>
  <si>
    <t>3.2  Obrabne plasti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</si>
  <si>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</si>
  <si>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</si>
  <si>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</si>
  <si>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</si>
  <si>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</si>
  <si>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</si>
  <si>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</si>
  <si>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</si>
  <si>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</si>
  <si>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</si>
  <si>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35 211</t>
  </si>
  <si>
    <t>35 214</t>
  </si>
  <si>
    <t>35 235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</si>
  <si>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</si>
  <si>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</si>
  <si>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</si>
  <si>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</si>
  <si>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</si>
  <si>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</si>
  <si>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</si>
  <si>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</si>
  <si>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</si>
  <si>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</si>
  <si>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</si>
  <si>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</si>
  <si>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</si>
  <si>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</si>
  <si>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</si>
  <si>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</si>
  <si>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 xml:space="preserve">Višinsko prilagajanje kap obstoječe komunalne infrastrukture
</t>
  </si>
  <si>
    <t>22 % DDV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</si>
  <si>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</si>
  <si>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</si>
  <si>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</si>
  <si>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</si>
  <si>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>Objekt :</t>
  </si>
  <si>
    <t>Del objekta :</t>
  </si>
  <si>
    <t>Številka načrta :</t>
  </si>
  <si>
    <t xml:space="preserve">Čiščenje utrjene/odrezkane površine/podlage pred pobrizgom z bitumenskim vezivom
</t>
  </si>
  <si>
    <t>43 851</t>
  </si>
  <si>
    <t>44 996</t>
  </si>
  <si>
    <t xml:space="preserve">Doplačilo za zatravitev s semenom
</t>
  </si>
  <si>
    <t xml:space="preserve">Prevoz materiala na razdaljo nad 10 do 15 km
</t>
  </si>
  <si>
    <t xml:space="preserve">Zaščita stikov s "teksabit trakom"
</t>
  </si>
  <si>
    <t>Zavarovanje gradbišča v času gradnje s popolno zaporo prometa</t>
  </si>
  <si>
    <t>m1
ocena</t>
  </si>
  <si>
    <t xml:space="preserve">Projektantski nadzor
</t>
  </si>
  <si>
    <t xml:space="preserve">Geotehnični nadzor
</t>
  </si>
  <si>
    <t>61 181</t>
  </si>
  <si>
    <t>62 168a</t>
  </si>
  <si>
    <t xml:space="preserve">Arheološki nadzor 
</t>
  </si>
  <si>
    <t xml:space="preserve">Porušitev in odstranitev robnika iz naravnega kamna
</t>
  </si>
  <si>
    <t xml:space="preserve">Porušitev in odstranitev obrobe iz granitnih kock
</t>
  </si>
  <si>
    <t xml:space="preserve">Porušitev grednega robnika iz cementnega betona
</t>
  </si>
  <si>
    <t>12 182</t>
  </si>
  <si>
    <t xml:space="preserve">Posek in odstranitev vej obstoječih dreves in grmovji
</t>
  </si>
  <si>
    <t>75 711</t>
  </si>
  <si>
    <t>43 853</t>
  </si>
  <si>
    <t>43 854</t>
  </si>
  <si>
    <t xml:space="preserve">Višinsko prilagajanje (do 50 cm) obstoječega jaška komunalne infrastrukture iz cementnega betona, po detajlu iz načrta, krožnega prereza s premerom 60 do 100 cm ali kvadratnega prereza do 100/100 cm
</t>
  </si>
  <si>
    <t>41 651</t>
  </si>
  <si>
    <t>41 652</t>
  </si>
  <si>
    <t>41 653</t>
  </si>
  <si>
    <t>41 654</t>
  </si>
  <si>
    <t>41 655</t>
  </si>
  <si>
    <t>44 978</t>
  </si>
  <si>
    <t>34 921</t>
  </si>
  <si>
    <t>41 656</t>
  </si>
  <si>
    <t xml:space="preserve">Prevoz in odlaganje odpadne zmesi zemljine in kamnine ali asfaltnega rezkanca/drobljenca na deponijo izvajalca v neposredni bližini gradbišča do ponovne vgradnje
</t>
  </si>
  <si>
    <t>79 516</t>
  </si>
  <si>
    <t>79 517</t>
  </si>
  <si>
    <r>
      <t>Rezanje asfaltne plasti s talno diamantno žago, debele 11 do 15 cm
(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>)</t>
    </r>
  </si>
  <si>
    <r>
      <t>Rezanje asfaltne plasti s talno diamantno žago, debele do 5 cm
(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)
</t>
    </r>
  </si>
  <si>
    <r>
      <t>Rezkanje in odvoz asfaltne krovne plasti v debelini do 3 cm 
(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)
</t>
    </r>
  </si>
  <si>
    <r>
      <t>Rezkanje in odvoz asfaltne krovne plasti v debelini 8 do 10 cm 
(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)
</t>
    </r>
  </si>
  <si>
    <t xml:space="preserve">Porušitev in odstranitev kanalizacije in požiralniških navezav iz obbetoniranih cevi s premerom do 40 cm
</t>
  </si>
  <si>
    <t xml:space="preserve">Porušitev in odstranitev vtočnega jaška (požiralnik) z notranjo stranico/premerom do 60 cm
</t>
  </si>
  <si>
    <t>Široki izkop vezljive zemljine – 3. kategorije – strojno z nakladanjem</t>
  </si>
  <si>
    <t xml:space="preserve">Humuziranje brežine in zelenice brez valjanja, v debelini do 20 cm - strojno
</t>
  </si>
  <si>
    <r>
      <t>Rezanje asfaltne plasti s talno diamantno žago, debele 6 do 10 cm
(</t>
    </r>
    <r>
      <rPr>
        <i/>
        <sz val="10"/>
        <color theme="1"/>
        <rFont val="Arial Narrow"/>
        <family val="2"/>
        <charset val="238"/>
      </rPr>
      <t>uvozi, dvorišča</t>
    </r>
    <r>
      <rPr>
        <sz val="10"/>
        <color theme="1"/>
        <rFont val="Arial Narrow"/>
        <family val="2"/>
        <charset val="238"/>
      </rPr>
      <t>)</t>
    </r>
  </si>
  <si>
    <r>
      <t>Rezkanje in odvoz asfaltne krovne plasti v debelini 4 do 7 cm 
(</t>
    </r>
    <r>
      <rPr>
        <i/>
        <sz val="10"/>
        <color theme="1"/>
        <rFont val="Arial Narrow"/>
        <family val="2"/>
        <charset val="238"/>
      </rPr>
      <t>uvozi, dvorišča</t>
    </r>
    <r>
      <rPr>
        <sz val="10"/>
        <color theme="1"/>
        <rFont val="Arial Narrow"/>
        <family val="2"/>
        <charset val="238"/>
      </rPr>
      <t xml:space="preserve">)
</t>
    </r>
  </si>
  <si>
    <t>2351-25</t>
  </si>
  <si>
    <t>Ureditev lokalne zbirne ceste, LZ 212261 "Čerinova ulica", od ul. 7. septembra do Ježice</t>
  </si>
  <si>
    <t xml:space="preserve">Demontaža in odstranitev prometnega znaka na enem podstavku
</t>
  </si>
  <si>
    <t xml:space="preserve">Pripravljalna dela
</t>
  </si>
  <si>
    <t xml:space="preserve">Organizacija gradbišča – odstranitev začasnih objektov
</t>
  </si>
  <si>
    <t xml:space="preserve">Organizacija gradbišča – postavitev začasnih objektov
</t>
  </si>
  <si>
    <r>
      <t xml:space="preserve">Porušitev in odstranitev obstoječe linijske rešetke na uvozih
</t>
    </r>
    <r>
      <rPr>
        <i/>
        <sz val="10"/>
        <color theme="1"/>
        <rFont val="Arial Narrow"/>
        <family val="2"/>
        <charset val="238"/>
      </rPr>
      <t>(vključno z odvozom na deponijo)</t>
    </r>
    <r>
      <rPr>
        <sz val="10"/>
        <color theme="1"/>
        <rFont val="Arial Narrow"/>
        <family val="2"/>
        <charset val="238"/>
      </rPr>
      <t xml:space="preserve">
</t>
    </r>
  </si>
  <si>
    <t xml:space="preserve">Demontaža in odstranitev ograje iz kovinskih stebričkov povezanih med seboj z verigo
</t>
  </si>
  <si>
    <t xml:space="preserve">Prestavitev ali odstranitev betonskega cvetličnega korita
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</si>
  <si>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</si>
  <si>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</si>
  <si>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ravninskem terenu
</t>
  </si>
  <si>
    <r>
      <t>Posnetek višine in položaja točke na terenu/objektu
(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)
</t>
    </r>
  </si>
  <si>
    <r>
      <t>Porušitev in odstranitev asfaltne plasti v debelini do 5 cm
(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)
</t>
    </r>
  </si>
  <si>
    <r>
      <t>Porušitev in odstranitev asfaltne plasti v debelini 6 do 10 cm
(</t>
    </r>
    <r>
      <rPr>
        <i/>
        <sz val="10"/>
        <color theme="1"/>
        <rFont val="Arial Narrow"/>
        <family val="2"/>
        <charset val="238"/>
      </rPr>
      <t>uvozi, dvorišča</t>
    </r>
    <r>
      <rPr>
        <sz val="10"/>
        <color theme="1"/>
        <rFont val="Arial Narrow"/>
        <family val="2"/>
        <charset val="238"/>
      </rPr>
      <t xml:space="preserve">)
</t>
    </r>
  </si>
  <si>
    <r>
      <t>Porušitev in odstranitev asfaltne plasti v debelini nad 10 cm
(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)
</t>
    </r>
  </si>
  <si>
    <t>Odlaganje odpadnega cementnega betona na komunalno deponijo (odvoz robnikov, kock, tlakovcev, jaškov, kanalizacijskih cevi, …)</t>
  </si>
  <si>
    <t xml:space="preserve">Odstranitev reklamne table / panoja
</t>
  </si>
  <si>
    <t xml:space="preserve">Izkop vezljive zemljine/zrnate kamnine – 3. kategorije za temelje, kanalske rove, prepuste, jaške in drenaže, širine do 1,0 m in globine do 1,0 m – ročno, planiranje dna ročno
</t>
  </si>
  <si>
    <t>22 396</t>
  </si>
  <si>
    <t xml:space="preserve">Ročno planiranje dna jarka v zemljini II. kategorije, s točnostjo +/-3 cm po projektiranem padcu.
</t>
  </si>
  <si>
    <r>
      <t xml:space="preserve">Izdelava nevezane nosilne plasti enakomerno zrnatega drobljenca iz kamnine v debelini 30 cm  
</t>
    </r>
    <r>
      <rPr>
        <i/>
        <sz val="10"/>
        <rFont val="Arial Narrow"/>
        <family val="2"/>
        <charset val="238"/>
      </rPr>
      <t>(pločnik, vozišče, uvozi, dvorišča)</t>
    </r>
    <r>
      <rPr>
        <sz val="10"/>
        <rFont val="Arial Narrow"/>
        <family val="2"/>
        <charset val="238"/>
      </rPr>
      <t xml:space="preserve">
</t>
    </r>
  </si>
  <si>
    <t xml:space="preserve">Izdelava dvokomponentne hladne plastike (v teksturi čepov) za nanos 15 cm robnih taktilnih linij, trajne označbe na vozišču, vključno s predhodnim premazom podlage, posamezna površina označbe od 0,6 do 1,0 m2  ( robna taktilna linija - čez prehod za pešce )
</t>
  </si>
  <si>
    <t xml:space="preserve">Dobava in vgraditev predfabriciranega dvignjenega robnika iz cementnega betona s prerezom 8/20 cm
</t>
  </si>
  <si>
    <r>
      <t xml:space="preserve">Dobava in vgraditev </t>
    </r>
    <r>
      <rPr>
        <i/>
        <sz val="10"/>
        <color theme="1"/>
        <rFont val="Arial Narrow"/>
        <family val="2"/>
        <charset val="238"/>
      </rPr>
      <t>ravne LTŽ rešetke</t>
    </r>
    <r>
      <rPr>
        <sz val="10"/>
        <color theme="1"/>
        <rFont val="Arial Narrow"/>
        <family val="2"/>
        <charset val="238"/>
      </rPr>
      <t xml:space="preserve"> z nosilnostjo </t>
    </r>
    <r>
      <rPr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
s prerezom </t>
    </r>
    <r>
      <rPr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vtočni jaški na vozišču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</si>
  <si>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vgraditev </t>
    </r>
    <r>
      <rPr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)
</t>
    </r>
  </si>
  <si>
    <r>
      <t>Dobava in vgraditev pokrova iz duktilne litine z nosilnostjo 400 kN, krožnega prereza s premerom 600 mm 
(</t>
    </r>
    <r>
      <rPr>
        <i/>
        <sz val="10"/>
        <color theme="1"/>
        <rFont val="Arial Narrow"/>
        <family val="2"/>
        <charset val="238"/>
      </rPr>
      <t>revizijski jašek v vozišču)</t>
    </r>
    <r>
      <rPr>
        <sz val="10"/>
        <color theme="1"/>
        <rFont val="Arial Narrow"/>
        <family val="2"/>
        <charset val="238"/>
      </rPr>
      <t xml:space="preserve">
</t>
    </r>
  </si>
  <si>
    <r>
      <t>Nabava, dobava in vgradnja</t>
    </r>
    <r>
      <rPr>
        <i/>
        <sz val="10"/>
        <color theme="1"/>
        <rFont val="Arial Narrow"/>
        <family val="2"/>
        <charset val="238"/>
      </rPr>
      <t xml:space="preserve"> revizijskega jaška</t>
    </r>
    <r>
      <rPr>
        <sz val="10"/>
        <color theme="1"/>
        <rFont val="Arial Narrow"/>
        <family val="2"/>
        <charset val="238"/>
      </rPr>
      <t xml:space="preserve"> iz </t>
    </r>
    <r>
      <rPr>
        <i/>
        <sz val="10"/>
        <color theme="1"/>
        <rFont val="Arial Narrow"/>
        <family val="2"/>
        <charset val="238"/>
      </rPr>
      <t>armiranega poliestra</t>
    </r>
    <r>
      <rPr>
        <sz val="10"/>
        <color theme="1"/>
        <rFont val="Arial Narrow"/>
        <family val="2"/>
        <charset val="238"/>
      </rPr>
      <t xml:space="preserve"> po SIST EN 14364, komplet z izdelano muldo in priključnimi cevmi (vtok, iztok), krožnega prereza s premerom </t>
    </r>
    <r>
      <rPr>
        <i/>
        <sz val="10"/>
        <color theme="1"/>
        <rFont val="Arial Narrow"/>
        <family val="2"/>
        <charset val="238"/>
      </rPr>
      <t>DN1000</t>
    </r>
    <r>
      <rPr>
        <sz val="10"/>
        <color theme="1"/>
        <rFont val="Arial Narrow"/>
        <family val="2"/>
        <charset val="238"/>
      </rPr>
      <t xml:space="preserve"> mm, globokega </t>
    </r>
    <r>
      <rPr>
        <i/>
        <sz val="10"/>
        <color theme="1"/>
        <rFont val="Arial Narrow"/>
        <family val="2"/>
        <charset val="238"/>
      </rPr>
      <t>1,0 do 1,5 m</t>
    </r>
    <r>
      <rPr>
        <sz val="10"/>
        <color theme="1"/>
        <rFont val="Arial Narrow"/>
        <family val="2"/>
        <charset val="238"/>
      </rPr>
      <t xml:space="preserve">. V ceni je vključeno tudi izdelava AB temeljne plošče jaška debeline 20 cm iz betona C25/30 ter vrtanje odprtin
</t>
    </r>
  </si>
  <si>
    <r>
      <t>Izdelava jaška iz polietilena, krožnega prereza s premerom 50 cm, globokega 1,5 do 2,0 m, vključno z vrtanjem odprtin in izdelavo AB venca
(</t>
    </r>
    <r>
      <rPr>
        <i/>
        <sz val="10"/>
        <rFont val="Arial Narrow"/>
        <family val="2"/>
        <charset val="238"/>
      </rPr>
      <t>vtočni jašek s peskolovom</t>
    </r>
    <r>
      <rPr>
        <sz val="10"/>
        <rFont val="Arial Narrow"/>
        <family val="2"/>
        <charset val="238"/>
      </rPr>
      <t xml:space="preserve">)
</t>
    </r>
  </si>
  <si>
    <r>
      <t xml:space="preserve">Izdelava priklopa </t>
    </r>
    <r>
      <rPr>
        <i/>
        <sz val="10"/>
        <rFont val="Arial Narrow"/>
        <family val="2"/>
        <charset val="238"/>
      </rPr>
      <t>vtočnega jaška ali linijskega požiralnika</t>
    </r>
    <r>
      <rPr>
        <sz val="10"/>
        <rFont val="Arial Narrow"/>
        <family val="2"/>
        <charset val="238"/>
      </rPr>
      <t xml:space="preserve"> na predviden </t>
    </r>
    <r>
      <rPr>
        <i/>
        <sz val="10"/>
        <rFont val="Arial Narrow"/>
        <family val="2"/>
        <charset val="238"/>
      </rPr>
      <t>vtočni/revizijski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</si>
  <si>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Pregled vgrajenih cevi s </t>
    </r>
    <r>
      <rPr>
        <i/>
        <sz val="10"/>
        <color theme="1"/>
        <rFont val="Arial Narrow"/>
        <family val="2"/>
        <charset val="238"/>
      </rPr>
      <t>TV kamero
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</si>
  <si>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Preskus tesnosti cevi premera od DN250 do DN500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</si>
  <si>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Preskus tesnosti cevi premera do DN200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</si>
  <si>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t xml:space="preserve">Doplačilo za izdelavo kanalizacije v globini 1,1 do 2 m s cevmi premera do DN315 mm 
</t>
  </si>
  <si>
    <t xml:space="preserve">Obbetoniranje cevi za kanalizacijo s cementnim betonom C 8/10, po detajlu iz načrta, premera DN315 mm
</t>
  </si>
  <si>
    <r>
      <t xml:space="preserve">Obbetoniranje cevi za kanalizacijo s cementnim betonom C 8/10, po detajlu iz načrta, premera do DN200 mm
</t>
    </r>
    <r>
      <rPr>
        <i/>
        <sz val="10"/>
        <color theme="1"/>
        <rFont val="Arial Narrow"/>
        <family val="2"/>
        <charset val="238"/>
      </rPr>
      <t xml:space="preserve">(Izdelava povezave in priklopa vtočnih jaškov in priklop linijskih kanalet-pod voziščem)
</t>
    </r>
  </si>
  <si>
    <r>
      <t xml:space="preserve">Dobava in montaža kanalizacijskih </t>
    </r>
    <r>
      <rPr>
        <i/>
        <sz val="10"/>
        <color theme="1"/>
        <rFont val="Arial Narrow"/>
        <family val="2"/>
        <charset val="238"/>
      </rPr>
      <t xml:space="preserve">GRP cevi </t>
    </r>
    <r>
      <rPr>
        <sz val="10"/>
        <color theme="1"/>
        <rFont val="Arial Narrow"/>
        <family val="2"/>
        <charset val="238"/>
      </rPr>
      <t xml:space="preserve">iz </t>
    </r>
    <r>
      <rPr>
        <i/>
        <sz val="10"/>
        <color theme="1"/>
        <rFont val="Arial Narrow"/>
        <family val="2"/>
        <charset val="238"/>
      </rPr>
      <t>ojačanega poliestra</t>
    </r>
    <r>
      <rPr>
        <sz val="10"/>
        <color theme="1"/>
        <rFont val="Arial Narrow"/>
        <family val="2"/>
        <charset val="238"/>
      </rPr>
      <t xml:space="preserve">, togostnega razreda </t>
    </r>
    <r>
      <rPr>
        <i/>
        <sz val="10"/>
        <color theme="1"/>
        <rFont val="Arial Narrow"/>
        <family val="2"/>
        <charset val="238"/>
      </rPr>
      <t>SN10000</t>
    </r>
    <r>
      <rPr>
        <sz val="10"/>
        <color theme="1"/>
        <rFont val="Arial Narrow"/>
        <family val="2"/>
        <charset val="238"/>
      </rPr>
      <t xml:space="preserve">, premera </t>
    </r>
    <r>
      <rPr>
        <i/>
        <sz val="10"/>
        <color theme="1"/>
        <rFont val="Arial Narrow"/>
        <family val="2"/>
        <charset val="238"/>
      </rPr>
      <t>DN315</t>
    </r>
    <r>
      <rPr>
        <sz val="10"/>
        <color theme="1"/>
        <rFont val="Arial Narrow"/>
        <family val="2"/>
        <charset val="238"/>
      </rPr>
      <t xml:space="preserve">, kompletno s spojkami in gumi tesnili, </t>
    </r>
    <r>
      <rPr>
        <i/>
        <sz val="10"/>
        <color theme="1"/>
        <rFont val="Arial Narrow"/>
        <family val="2"/>
        <charset val="238"/>
      </rPr>
      <t>na podložni plasti iz cementnega betona, v globini do 1,0 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</si>
  <si>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kanalizacije iz cevi iz polivinilklorida, vključno s podložno plastjo iz cementnega betona, premera DN200 mm, 
v globini do 1,0 m
</t>
    </r>
    <r>
      <rPr>
        <i/>
        <sz val="10"/>
        <color theme="1"/>
        <rFont val="Arial Narrow"/>
        <family val="2"/>
        <charset val="238"/>
      </rPr>
      <t>(Izdelava navezave vtočnih jaškov-pod voziščem)</t>
    </r>
    <r>
      <rPr>
        <sz val="10"/>
        <color theme="1"/>
        <rFont val="Arial Narrow"/>
        <family val="2"/>
        <charset val="238"/>
      </rPr>
      <t xml:space="preserve">
</t>
    </r>
  </si>
  <si>
    <r>
      <t>Izdelava kanalizacije iz cevi iz polivinilklorida, vključno s podložno plastjo iz cementnega betona, premera DN160, 
v globini do 1,0 m
 (</t>
    </r>
    <r>
      <rPr>
        <i/>
        <sz val="10"/>
        <color theme="1"/>
        <rFont val="Arial Narrow"/>
        <family val="2"/>
        <charset val="238"/>
      </rPr>
      <t>Izdelava navezave vtočnih jaškov-pod voziščem)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</si>
  <si>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i/>
        <sz val="10"/>
        <rFont val="Arial Narrow"/>
        <family val="2"/>
        <charset val="238"/>
      </rPr>
      <t>priklopa na obstoječ jašek odcepa meteornega kanala</t>
    </r>
  </si>
  <si>
    <r>
      <t xml:space="preserve">Prevoz in prenos kanalizacijskih cevi do mesta vgraditve
</t>
    </r>
    <r>
      <rPr>
        <i/>
        <sz val="10"/>
        <rFont val="Arial Narrow"/>
        <family val="2"/>
        <charset val="238"/>
      </rPr>
      <t>*GRP in PVC cevi</t>
    </r>
    <r>
      <rPr>
        <sz val="10"/>
        <rFont val="Arial Narrow"/>
        <family val="2"/>
        <charset val="238"/>
      </rPr>
      <t xml:space="preserve">
</t>
    </r>
  </si>
  <si>
    <t>24 652</t>
  </si>
  <si>
    <t xml:space="preserve">Dobava peska frakcije 8-32 mm in izdelava nasipa nad položenimi cevmi 30 cm nad temenom. Obsip se izvaja v slojih po 15 cm, istočasno na obeh straneh cevi. Obsip in nasip se utrjuje do 95% trdnosti po standardnem Proktorjevem postopku. 
</t>
  </si>
  <si>
    <t>24 653</t>
  </si>
  <si>
    <r>
      <t xml:space="preserve">Izdelava </t>
    </r>
    <r>
      <rPr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>zasip revizijskih in vtočnih jaškov ter vgrajenih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)
</t>
    </r>
  </si>
  <si>
    <t>43 855</t>
  </si>
  <si>
    <t xml:space="preserve">Izdelava priklopa vtočnega jaška na glavni meteorni kanal z vpadnikom ali direktnim vtokom (pod kotom 45 stopinj)
</t>
  </si>
  <si>
    <r>
      <t xml:space="preserve">Dobava in vgradnja </t>
    </r>
    <r>
      <rPr>
        <i/>
        <sz val="10"/>
        <color theme="1"/>
        <rFont val="Arial Narrow"/>
        <family val="2"/>
        <charset val="238"/>
      </rPr>
      <t xml:space="preserve">linijskega požiralnika iz polimernega betona </t>
    </r>
    <r>
      <rPr>
        <sz val="10"/>
        <color theme="1"/>
        <rFont val="Arial Narrow"/>
        <family val="2"/>
        <charset val="238"/>
      </rPr>
      <t xml:space="preserve">svetle širine </t>
    </r>
    <r>
      <rPr>
        <i/>
        <sz val="10"/>
        <color theme="1"/>
        <rFont val="Arial Narrow"/>
        <family val="2"/>
        <charset val="238"/>
      </rPr>
      <t>200 mm</t>
    </r>
    <r>
      <rPr>
        <sz val="10"/>
        <color theme="1"/>
        <rFont val="Arial Narrow"/>
        <family val="2"/>
        <charset val="238"/>
      </rPr>
      <t xml:space="preserve"> z </t>
    </r>
    <r>
      <rPr>
        <i/>
        <sz val="10"/>
        <color theme="1"/>
        <rFont val="Arial Narrow"/>
        <family val="2"/>
        <charset val="238"/>
      </rPr>
      <t>litoželeznim robom</t>
    </r>
    <r>
      <rPr>
        <sz val="10"/>
        <color theme="1"/>
        <rFont val="Arial Narrow"/>
        <family val="2"/>
        <charset val="238"/>
      </rPr>
      <t xml:space="preserve">, gradbene višine 30 cm zunanja širina 235 mm, dolžina 1000 mm. Kanal se izvede s polaganjem na podložni beton debeline 15 cm, ter bočnim obbetoniranjem kanalete. Zgornji rob rešetke se izvaja na ravni 2-5 mm nižje od končnega nivoja platoja. Komplet z vsem priborom za montažo, 
kot npr.: </t>
    </r>
    <r>
      <rPr>
        <i/>
        <sz val="10"/>
        <color theme="1"/>
        <rFont val="Arial Narrow"/>
        <family val="2"/>
        <charset val="238"/>
      </rPr>
      <t>Multiline V200 kanalete (linijske rešetke)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</si>
  <si>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vgradnja </t>
    </r>
    <r>
      <rPr>
        <i/>
        <sz val="10"/>
        <color theme="1"/>
        <rFont val="Arial Narrow"/>
        <family val="2"/>
        <charset val="238"/>
      </rPr>
      <t>pokrivne litoželezne rešetke</t>
    </r>
    <r>
      <rPr>
        <sz val="10"/>
        <color theme="1"/>
        <rFont val="Arial Narrow"/>
        <family val="2"/>
        <charset val="238"/>
      </rPr>
      <t xml:space="preserve">, obremenitev min. </t>
    </r>
    <r>
      <rPr>
        <i/>
        <sz val="10"/>
        <color theme="1"/>
        <rFont val="Arial Narrow"/>
        <family val="2"/>
        <charset val="238"/>
      </rPr>
      <t>D 400 kN</t>
    </r>
    <r>
      <rPr>
        <sz val="10"/>
        <color theme="1"/>
        <rFont val="Arial Narrow"/>
        <family val="2"/>
        <charset val="238"/>
      </rPr>
      <t xml:space="preserve">, dolžina 500 mm in širine 223 mm, 
kot npr.: </t>
    </r>
    <r>
      <rPr>
        <i/>
        <sz val="10"/>
        <color theme="1"/>
        <rFont val="Arial Narrow"/>
        <family val="2"/>
        <charset val="238"/>
      </rPr>
      <t xml:space="preserve">Multiline V200 - SK design
</t>
    </r>
  </si>
  <si>
    <r>
      <t xml:space="preserve">Izdelava nosilne plasti bituminizirane zmesi AC 22 base B 50/70 A3 v debelini 6 cm 
</t>
    </r>
    <r>
      <rPr>
        <i/>
        <sz val="10"/>
        <color theme="1"/>
        <rFont val="Arial Narrow"/>
        <family val="2"/>
        <charset val="238"/>
      </rPr>
      <t>(vozišče, uvozi čez pločnik, uvozi, dvorišča)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</si>
  <si>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>Izdelava obrabne in zaporne plasti bituminizirane zmesi AC 8 surf B 70/100 A5 v debelini 4,0 cm (</t>
    </r>
    <r>
      <rPr>
        <i/>
        <sz val="10"/>
        <color theme="1"/>
        <rFont val="Arial Narrow"/>
        <family val="2"/>
        <charset val="238"/>
      </rPr>
      <t>pločnik in uvozi čez pločnik</t>
    </r>
    <r>
      <rPr>
        <sz val="10"/>
        <color theme="1"/>
        <rFont val="Arial Narrow"/>
        <family val="2"/>
        <charset val="238"/>
      </rPr>
      <t xml:space="preserve">)
</t>
    </r>
    <r>
      <rPr>
        <i/>
        <sz val="10"/>
        <color theme="1"/>
        <rFont val="Arial Narrow"/>
        <family val="2"/>
        <charset val="238"/>
      </rPr>
      <t xml:space="preserve">*TOPLI ASFALT 
*Vgradi se lahko do 15% rezkanca pridobljenega iz odpadnega asfalta (Uredba o zelenem javnem naročanju)
</t>
    </r>
  </si>
  <si>
    <r>
      <t xml:space="preserve">Izdelava obrabne in zaporne plasti bituminizirane zmesi AC 11 surf B 50/70 A3 v debelini 4,0 cm
</t>
    </r>
    <r>
      <rPr>
        <i/>
        <sz val="10"/>
        <color theme="1"/>
        <rFont val="Arial Narrow"/>
        <family val="2"/>
        <charset val="238"/>
      </rPr>
      <t>(vozišče, uvozi, dvorišča)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</si>
  <si>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vgradnja predfabricirane betonske </t>
    </r>
    <r>
      <rPr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i/>
        <sz val="10"/>
        <color theme="1"/>
        <rFont val="Arial Narrow"/>
        <family val="2"/>
        <charset val="238"/>
      </rPr>
      <t>30 cm x 30 cm  (prehodi za pešce)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</si>
  <si>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vgradnja </t>
    </r>
    <r>
      <rPr>
        <i/>
        <sz val="10"/>
        <color theme="1"/>
        <rFont val="Arial Narrow"/>
        <family val="2"/>
        <charset val="238"/>
      </rPr>
      <t>zaključne polne čelne stene</t>
    </r>
    <r>
      <rPr>
        <sz val="10"/>
        <color theme="1"/>
        <rFont val="Arial Narrow"/>
        <family val="2"/>
        <charset val="238"/>
      </rPr>
      <t xml:space="preserve"> iz polimernega betona z zaščitnim robom, debeline 2 cm, 
kot npr.: </t>
    </r>
    <r>
      <rPr>
        <i/>
        <sz val="10"/>
        <color theme="1"/>
        <rFont val="Arial Narrow"/>
        <family val="2"/>
        <charset val="238"/>
      </rPr>
      <t>Multiline V200 pribor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</si>
  <si>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vgradnja </t>
    </r>
    <r>
      <rPr>
        <i/>
        <sz val="10"/>
        <color theme="1"/>
        <rFont val="Arial Narrow"/>
        <family val="2"/>
        <charset val="238"/>
      </rPr>
      <t>zaključne čelne stene z iztokom do DN200</t>
    </r>
    <r>
      <rPr>
        <sz val="10"/>
        <color theme="1"/>
        <rFont val="Arial Narrow"/>
        <family val="2"/>
        <charset val="238"/>
      </rPr>
      <t xml:space="preserve">, z zaščitnim robom in tesnilom cevi, iz polimernega betona z zaščitnim robom, debeline 2cm, kot npr.: </t>
    </r>
    <r>
      <rPr>
        <i/>
        <sz val="10"/>
        <color theme="1"/>
        <rFont val="Arial Narrow"/>
        <family val="2"/>
        <charset val="238"/>
      </rPr>
      <t>Multiline V200 pribor</t>
    </r>
  </si>
  <si>
    <r>
      <t xml:space="preserve">Dobava in vgradnja enodelnega </t>
    </r>
    <r>
      <rPr>
        <i/>
        <sz val="10"/>
        <color theme="1"/>
        <rFont val="Arial Narrow"/>
        <family val="2"/>
        <charset val="238"/>
      </rPr>
      <t>zbiralnika iz polimernega betona</t>
    </r>
    <r>
      <rPr>
        <sz val="10"/>
        <color theme="1"/>
        <rFont val="Arial Narrow"/>
        <family val="2"/>
        <charset val="238"/>
      </rPr>
      <t xml:space="preserve"> z integriranim tesnilom na </t>
    </r>
    <r>
      <rPr>
        <i/>
        <sz val="10"/>
        <color theme="1"/>
        <rFont val="Arial Narrow"/>
        <family val="2"/>
        <charset val="238"/>
      </rPr>
      <t>iztoku DN160</t>
    </r>
    <r>
      <rPr>
        <sz val="10"/>
        <color theme="1"/>
        <rFont val="Arial Narrow"/>
        <family val="2"/>
        <charset val="238"/>
      </rPr>
      <t xml:space="preserve">, zaščitnim robom in </t>
    </r>
    <r>
      <rPr>
        <i/>
        <sz val="10"/>
        <color theme="1"/>
        <rFont val="Arial Narrow"/>
        <family val="2"/>
        <charset val="238"/>
      </rPr>
      <t xml:space="preserve">PVC vedrom </t>
    </r>
    <r>
      <rPr>
        <sz val="10"/>
        <color theme="1"/>
        <rFont val="Arial Narrow"/>
        <family val="2"/>
        <charset val="238"/>
      </rPr>
      <t xml:space="preserve">za grobe nečistoče, kot npr.: </t>
    </r>
    <r>
      <rPr>
        <i/>
        <sz val="10"/>
        <color theme="1"/>
        <rFont val="Arial Narrow"/>
        <family val="2"/>
        <charset val="238"/>
      </rPr>
      <t>Multiline V200 zbiralnik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</si>
  <si>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i/>
        <sz val="10"/>
        <color theme="1"/>
        <rFont val="Arial Narrow"/>
        <family val="2"/>
        <charset val="238"/>
      </rPr>
      <t>preboja PE vtočnega jaška z vrtanjem s  kronami</t>
    </r>
    <r>
      <rPr>
        <sz val="10"/>
        <color theme="1"/>
        <rFont val="Arial Narrow"/>
        <family val="2"/>
        <charset val="238"/>
      </rPr>
      <t xml:space="preserve"> za diamantno vrtanje, premer odprtine </t>
    </r>
    <r>
      <rPr>
        <i/>
        <sz val="10"/>
        <color theme="1"/>
        <rFont val="Arial Narrow"/>
        <family val="2"/>
        <charset val="238"/>
      </rPr>
      <t>DN160 mm</t>
    </r>
    <r>
      <rPr>
        <sz val="10"/>
        <color theme="1"/>
        <rFont val="Arial Narrow"/>
        <family val="2"/>
        <charset val="238"/>
      </rPr>
      <t xml:space="preserve"> (*</t>
    </r>
    <r>
      <rPr>
        <i/>
        <sz val="10"/>
        <color theme="1"/>
        <rFont val="Arial Narrow"/>
        <family val="2"/>
        <charset val="238"/>
      </rPr>
      <t>vtok iz linijskih rešetk v vtočni jašek-požiralnik</t>
    </r>
    <r>
      <rPr>
        <sz val="10"/>
        <color theme="1"/>
        <rFont val="Arial Narrow"/>
        <family val="2"/>
        <charset val="238"/>
      </rPr>
      <t xml:space="preserve">), z vsem montažnim in tesnilnim materialom
</t>
    </r>
  </si>
  <si>
    <r>
      <t xml:space="preserve">Izdelava </t>
    </r>
    <r>
      <rPr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>(PID)</t>
    </r>
  </si>
  <si>
    <r>
      <t>Izdelava projektne</t>
    </r>
    <r>
      <rPr>
        <i/>
        <sz val="10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dokumentacije za </t>
    </r>
    <r>
      <rPr>
        <i/>
        <sz val="10"/>
        <color theme="1"/>
        <rFont val="Arial Narrow"/>
        <family val="2"/>
        <charset val="238"/>
      </rPr>
      <t>vzdrževanje in obratovanje</t>
    </r>
  </si>
  <si>
    <r>
      <t xml:space="preserve">Zaščita oz. prestavitev </t>
    </r>
    <r>
      <rPr>
        <i/>
        <sz val="10"/>
        <color theme="1"/>
        <rFont val="Arial Narrow"/>
        <family val="2"/>
        <charset val="238"/>
      </rPr>
      <t>obstoječega vkopanega plinovoda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</si>
  <si>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i/>
        <sz val="10"/>
        <color theme="1"/>
        <rFont val="Arial Narrow"/>
        <family val="2"/>
        <charset val="238"/>
      </rPr>
      <t>obstoječega vkopanega vodovoda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</si>
  <si>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obstoječega </t>
    </r>
    <r>
      <rPr>
        <i/>
        <sz val="10"/>
        <color theme="1"/>
        <rFont val="Arial Narrow"/>
        <family val="2"/>
        <charset val="238"/>
      </rPr>
      <t>vkopanega voda cestne razsvetljave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</si>
  <si>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</si>
  <si>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i/>
        <sz val="10"/>
        <color theme="1"/>
        <rFont val="Arial Narrow"/>
        <family val="2"/>
        <charset val="238"/>
      </rPr>
      <t>obstoječega vkopanega elektro-energetskega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</si>
  <si>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>Doplačilo za izdelavo</t>
    </r>
    <r>
      <rPr>
        <i/>
        <sz val="10"/>
        <color theme="1"/>
        <rFont val="Arial Narrow"/>
        <family val="2"/>
        <charset val="238"/>
      </rPr>
      <t xml:space="preserve"> prekinjenih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debeloslojnih</t>
    </r>
    <r>
      <rPr>
        <sz val="10"/>
        <color theme="1"/>
        <rFont val="Arial Narrow"/>
        <family val="2"/>
        <charset val="238"/>
      </rPr>
      <t xml:space="preserve"> vzdolžnih označb na vozišču, </t>
    </r>
    <r>
      <rPr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12 cm  (5121-3)</t>
    </r>
    <r>
      <rPr>
        <sz val="10"/>
        <color theme="1"/>
        <rFont val="Arial Narrow"/>
        <family val="2"/>
        <charset val="238"/>
      </rPr>
      <t xml:space="preserve">
</t>
    </r>
  </si>
  <si>
    <r>
      <t>Izdelava</t>
    </r>
    <r>
      <rPr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i/>
        <sz val="10"/>
        <rFont val="Arial Narrow"/>
        <family val="2"/>
        <charset val="238"/>
      </rPr>
      <t>rdeče barve</t>
    </r>
    <r>
      <rPr>
        <sz val="10"/>
        <rFont val="Arial Narrow"/>
        <family val="2"/>
        <charset val="238"/>
      </rPr>
      <t xml:space="preserve">, vključno </t>
    </r>
    <r>
      <rPr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i/>
        <sz val="10"/>
        <rFont val="Arial Narrow"/>
        <family val="2"/>
        <charset val="238"/>
      </rPr>
      <t>širina črte 20 cm</t>
    </r>
    <r>
      <rPr>
        <sz val="10"/>
        <rFont val="Arial Narrow"/>
        <family val="2"/>
        <charset val="238"/>
      </rPr>
      <t xml:space="preserve"> (</t>
    </r>
    <r>
      <rPr>
        <i/>
        <sz val="10"/>
        <rFont val="Arial Narrow"/>
        <family val="2"/>
        <charset val="238"/>
      </rPr>
      <t>5233</t>
    </r>
    <r>
      <rPr>
        <sz val="10"/>
        <rFont val="Arial Narrow"/>
        <family val="2"/>
        <charset val="238"/>
      </rPr>
      <t xml:space="preserve">)
</t>
    </r>
  </si>
  <si>
    <r>
      <t xml:space="preserve">Izdelava </t>
    </r>
    <r>
      <rPr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</t>
    </r>
    <r>
      <rPr>
        <i/>
        <sz val="10"/>
        <rFont val="Arial Narrow"/>
        <family val="2"/>
        <charset val="238"/>
      </rPr>
      <t xml:space="preserve"> bele barve</t>
    </r>
    <r>
      <rPr>
        <sz val="10"/>
        <rFont val="Arial Narrow"/>
        <family val="2"/>
        <charset val="238"/>
      </rPr>
      <t xml:space="preserve">, vključno </t>
    </r>
    <r>
      <rPr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i/>
        <sz val="10"/>
        <rFont val="Arial Narrow"/>
        <family val="2"/>
        <charset val="238"/>
      </rPr>
      <t>širina črte 12 cm</t>
    </r>
    <r>
      <rPr>
        <sz val="10"/>
        <rFont val="Arial Narrow"/>
        <family val="2"/>
        <charset val="238"/>
      </rPr>
      <t xml:space="preserve"> (</t>
    </r>
    <r>
      <rPr>
        <i/>
        <sz val="10"/>
        <rFont val="Arial Narrow"/>
        <family val="2"/>
        <charset val="238"/>
      </rPr>
      <t>5121-3</t>
    </r>
    <r>
      <rPr>
        <sz val="10"/>
        <rFont val="Arial Narrow"/>
        <family val="2"/>
        <charset val="238"/>
      </rPr>
      <t xml:space="preserve">)
</t>
    </r>
  </si>
  <si>
    <r>
      <t xml:space="preserve">Izdelava </t>
    </r>
    <r>
      <rPr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dodatnega posipa z drobci stekla, strojno, debelina plasti suhe snovi </t>
    </r>
    <r>
      <rPr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i/>
        <sz val="10"/>
        <color theme="1"/>
        <rFont val="Arial Narrow"/>
        <family val="2"/>
        <charset val="238"/>
      </rPr>
      <t xml:space="preserve">površina označbe nad 1,5 m2
(5231-širine 300 cm in 400 cm, 5314-1)
</t>
    </r>
  </si>
  <si>
    <r>
      <t xml:space="preserve">Izdelava </t>
    </r>
    <r>
      <rPr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i/>
        <sz val="10"/>
        <color theme="1"/>
        <rFont val="Arial Narrow"/>
        <family val="2"/>
        <charset val="238"/>
      </rPr>
      <t xml:space="preserve">površina označbe 0,6 do 1,0 m2
(piktogrami na kolesarski stezi - 5609-1)
</t>
    </r>
  </si>
  <si>
    <r>
      <t xml:space="preserve">Izdelava tankoslojne prečne in ostalih označb na vozišču z enokomponentno </t>
    </r>
    <r>
      <rPr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250 µm,</t>
    </r>
    <r>
      <rPr>
        <i/>
        <sz val="10"/>
        <color theme="1"/>
        <rFont val="Arial Narrow"/>
        <family val="2"/>
        <charset val="238"/>
      </rPr>
      <t xml:space="preserve"> širina črte 50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5211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</si>
  <si>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tankoslojne prečne in ostalih označb na vozišču z enokomponentno </t>
    </r>
    <r>
      <rPr>
        <i/>
        <sz val="10"/>
        <color theme="1"/>
        <rFont val="Arial Narrow"/>
        <family val="2"/>
        <charset val="238"/>
      </rPr>
      <t>rumeno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i/>
        <sz val="10"/>
        <color theme="1"/>
        <rFont val="Arial Narrow"/>
        <family val="2"/>
        <charset val="238"/>
      </rPr>
      <t xml:space="preserve">površina označbe 0,6 do 1,0 m2 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5335-1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</si>
  <si>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pritrditev </t>
    </r>
    <r>
      <rPr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>(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</si>
  <si>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pritrditev </t>
    </r>
    <r>
      <rPr>
        <i/>
        <sz val="10"/>
        <color theme="1"/>
        <rFont val="Arial Narrow"/>
        <family val="2"/>
        <charset val="238"/>
      </rPr>
      <t>okroglega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i/>
        <sz val="10"/>
        <color theme="1"/>
        <rFont val="Arial Narrow"/>
        <family val="2"/>
        <charset val="238"/>
      </rPr>
      <t>belo/rdečo</t>
    </r>
    <r>
      <rPr>
        <sz val="10"/>
        <color theme="1"/>
        <rFont val="Arial Narrow"/>
        <family val="2"/>
        <charset val="238"/>
      </rPr>
      <t xml:space="preserve"> barvo in odsevno folijo </t>
    </r>
    <r>
      <rPr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i/>
        <sz val="10"/>
        <color theme="1"/>
        <rFont val="Arial Narrow"/>
        <family val="2"/>
        <charset val="238"/>
      </rPr>
      <t>premera 600 mm</t>
    </r>
    <r>
      <rPr>
        <sz val="10"/>
        <color theme="1"/>
        <rFont val="Arial Narrow"/>
        <family val="2"/>
        <charset val="238"/>
      </rPr>
      <t xml:space="preserve">  (2202)
</t>
    </r>
  </si>
  <si>
    <r>
      <t xml:space="preserve">Izdelava tankoslojne prečne in ostalih označb na vozišču z enokomponentno </t>
    </r>
    <r>
      <rPr>
        <i/>
        <sz val="10"/>
        <color theme="1"/>
        <rFont val="Arial Narrow"/>
        <family val="2"/>
        <charset val="238"/>
      </rPr>
      <t>belo/rdečo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i/>
        <sz val="10"/>
        <color theme="1"/>
        <rFont val="Arial Narrow"/>
        <family val="2"/>
        <charset val="238"/>
      </rPr>
      <t xml:space="preserve">površina označbe nad 3,0 m2
</t>
    </r>
    <r>
      <rPr>
        <sz val="10"/>
        <color theme="1"/>
        <rFont val="Arial Narrow"/>
        <family val="2"/>
        <charset val="238"/>
      </rPr>
      <t>(</t>
    </r>
    <r>
      <rPr>
        <i/>
        <sz val="10"/>
        <color theme="1"/>
        <rFont val="Arial Narrow"/>
        <family val="2"/>
        <charset val="238"/>
      </rPr>
      <t>5603-območje omejene hitrosti 30km/h</t>
    </r>
    <r>
      <rPr>
        <sz val="10"/>
        <color theme="1"/>
        <rFont val="Arial Narrow"/>
        <family val="2"/>
        <charset val="238"/>
      </rPr>
      <t xml:space="preserve">)
</t>
    </r>
  </si>
  <si>
    <r>
      <t>Nabava, dobava in vgradnja (zabitje)</t>
    </r>
    <r>
      <rPr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</si>
  <si>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r>
      <t>Dobava in vgraditev</t>
    </r>
    <r>
      <rPr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</si>
  <si>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pritrditev prometnega znaka, podloga iz vroče cinkane jeklene pločevine, znak z </t>
    </r>
    <r>
      <rPr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i/>
        <sz val="10"/>
        <color theme="1"/>
        <rFont val="Arial Narrow"/>
        <family val="2"/>
        <charset val="238"/>
      </rPr>
      <t>velikost od 0,11 do 0,20 m2</t>
    </r>
    <r>
      <rPr>
        <sz val="10"/>
        <color theme="1"/>
        <rFont val="Arial Narrow"/>
        <family val="2"/>
        <charset val="238"/>
      </rPr>
      <t xml:space="preserve">  (3211</t>
    </r>
    <r>
      <rPr>
        <i/>
        <sz val="10"/>
        <color theme="1"/>
        <rFont val="Arial Narrow"/>
        <family val="2"/>
        <charset val="238"/>
      </rPr>
      <t xml:space="preserve"> in 4807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</si>
  <si>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pritrditev prometnega znaka, podloga iz vroče cinkane jeklene pločevine, znak z </t>
    </r>
    <r>
      <rPr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i/>
        <sz val="10"/>
        <color theme="1"/>
        <rFont val="Arial Narrow"/>
        <family val="2"/>
        <charset val="238"/>
      </rPr>
      <t>velikost od 0,21 do 0,40 m2</t>
    </r>
    <r>
      <rPr>
        <sz val="10"/>
        <color theme="1"/>
        <rFont val="Arial Narrow"/>
        <family val="2"/>
        <charset val="238"/>
      </rPr>
      <t xml:space="preserve">  (</t>
    </r>
    <r>
      <rPr>
        <i/>
        <sz val="10"/>
        <color theme="1"/>
        <rFont val="Arial Narrow"/>
        <family val="2"/>
        <charset val="238"/>
      </rPr>
      <t>2421 in 2422</t>
    </r>
    <r>
      <rPr>
        <sz val="10"/>
        <color theme="1"/>
        <rFont val="Arial Narrow"/>
        <family val="2"/>
        <charset val="238"/>
      </rPr>
      <t xml:space="preserve">)
</t>
    </r>
  </si>
  <si>
    <t>ulica Ježica, LK 217031</t>
  </si>
  <si>
    <t xml:space="preserve">Zakoličenje osi kanalizacije z zavarovanjem osi ter oznako revizijskih jaškov, črpališč in ostalih objektov
</t>
  </si>
  <si>
    <t>11 652</t>
  </si>
  <si>
    <t>11 643</t>
  </si>
  <si>
    <t xml:space="preserve">Postavitev gradbenih profilov na vzpostavljeno os trase kanalizacije ter določitev nivoja za merjenje globine izkopa in polaganje kanalizacije
</t>
  </si>
  <si>
    <t xml:space="preserve">Preskus tesnosti jaška premera do 50 cm
</t>
  </si>
  <si>
    <t xml:space="preserve">Preskus tesnosti jaška premera nad 80 cm
</t>
  </si>
  <si>
    <r>
      <t xml:space="preserve">Izdelava </t>
    </r>
    <r>
      <rPr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i/>
        <sz val="10"/>
        <color theme="1"/>
        <rFont val="Arial Narrow"/>
        <family val="2"/>
        <charset val="238"/>
      </rPr>
      <t xml:space="preserve">površina označbe do 0,5 m2
(puščice na kolesarski stezi - 5461, 5464)
</t>
    </r>
  </si>
  <si>
    <r>
      <t>Izdelava podprtega opaža za ukrivljen temelj
(</t>
    </r>
    <r>
      <rPr>
        <i/>
        <sz val="10"/>
        <color theme="1"/>
        <rFont val="Arial Narrow"/>
        <family val="2"/>
        <charset val="238"/>
      </rPr>
      <t>AB plošča za postajo za e-kolesa</t>
    </r>
    <r>
      <rPr>
        <sz val="10"/>
        <color theme="1"/>
        <rFont val="Arial Narrow"/>
        <family val="2"/>
        <charset val="238"/>
      </rPr>
      <t xml:space="preserve">)
</t>
    </r>
  </si>
  <si>
    <t>52 763</t>
  </si>
  <si>
    <r>
      <t xml:space="preserve">Dobava in vgraditev armaturne mreže Q335
</t>
    </r>
    <r>
      <rPr>
        <i/>
        <sz val="10"/>
        <color theme="1"/>
        <rFont val="Arial Narrow"/>
        <family val="2"/>
        <charset val="238"/>
      </rPr>
      <t>(AB plošča za postajo za e-kolesa)</t>
    </r>
    <r>
      <rPr>
        <sz val="10"/>
        <color theme="1"/>
        <rFont val="Arial Narrow"/>
        <family val="2"/>
        <charset val="238"/>
      </rPr>
      <t xml:space="preserve">
</t>
    </r>
  </si>
  <si>
    <t xml:space="preserve">Dobava in postavitev ojačane distančne kače z valovito ojačitvijo za armaturno ploščo
</t>
  </si>
  <si>
    <t>8.    NEPREDVIDENA DELA 5%</t>
  </si>
  <si>
    <t xml:space="preserve">Zasipavanje jarka skupaj z dobavo in dovozom materiala, z utrjevanjem z vibracijskim nabijačem v slojih po 20 cm do 95% trdnosti po standardnem Proktorjevem postopku
(+)  Skupni izkop = 1350,95 m3
(-)  Obsip cevi, jaškov = 270,69 m3
(-)  Posteljica = 15,1 m3
(-)  Greda za cesto = 519,35 m3
(-)  Tampon za cesto = 324,59 m3
(-)  Volumen jaškov, cevi = cca. 20,3 m3
---------------------------------------------------------------------
(=)  Material za zasip = 200,92 m3
Za zasip uporabimo nov kamnitni nasipni material frakcije 0,02-100 mm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</si>
</sst>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9" fillId="0" borderId="0" xfId="0" applyNumberFormat="1" applyFont="1" applyAlignment="1">
      <alignment horizontal="center" vertical="top" wrapText="1"/>
    </xf>
    <xf numFmtId="2" fontId="9" fillId="0" borderId="11" xfId="0" applyNumberFormat="1" applyFont="1" applyBorder="1" applyAlignment="1">
      <alignment horizontal="center" wrapText="1"/>
    </xf>
    <xf numFmtId="4" fontId="8" fillId="0" borderId="0" xfId="0" applyNumberFormat="1" applyFont="1" applyAlignment="1">
      <alignment horizontal="center" vertical="top" wrapText="1"/>
    </xf>
    <xf numFmtId="2" fontId="11" fillId="0" borderId="0" xfId="0" applyNumberFormat="1" applyFont="1" applyAlignment="1">
      <alignment horizontal="center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center" wrapText="1"/>
    </xf>
    <xf numFmtId="0" fontId="14" fillId="0" borderId="0" xfId="0" applyFont="1"/>
    <xf numFmtId="0" fontId="15" fillId="0" borderId="0" xfId="0" applyFont="1"/>
    <xf numFmtId="0" fontId="13" fillId="0" borderId="4" xfId="0" applyFont="1" applyBorder="1"/>
    <xf numFmtId="0" fontId="13" fillId="0" borderId="5" xfId="0" applyFont="1" applyBorder="1"/>
    <xf numFmtId="164" fontId="13" fillId="0" borderId="6" xfId="0" applyNumberFormat="1" applyFont="1" applyBorder="1"/>
    <xf numFmtId="164" fontId="13" fillId="0" borderId="0" xfId="0" applyNumberFormat="1" applyFont="1"/>
    <xf numFmtId="0" fontId="13" fillId="0" borderId="0" xfId="0" applyFont="1" applyAlignment="1">
      <alignment horizontal="right"/>
    </xf>
    <xf numFmtId="2" fontId="13" fillId="0" borderId="0" xfId="0" applyNumberFormat="1" applyFont="1"/>
    <xf numFmtId="0" fontId="15" fillId="0" borderId="4" xfId="0" applyFont="1" applyBorder="1"/>
    <xf numFmtId="164" fontId="15" fillId="0" borderId="6" xfId="0" applyNumberFormat="1" applyFont="1" applyBorder="1"/>
    <xf numFmtId="2" fontId="17" fillId="0" borderId="7" xfId="0" applyNumberFormat="1" applyFont="1" applyBorder="1" applyAlignment="1">
      <alignment horizontal="center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9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2" fontId="9" fillId="0" borderId="0" xfId="0" applyNumberFormat="1" applyFont="1" applyAlignment="1">
      <alignment horizontal="center" vertical="top" wrapText="1"/>
    </xf>
    <xf numFmtId="2" fontId="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/>
    <xf numFmtId="2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Alignment="1">
      <alignment horizontal="left" wrapText="1"/>
    </xf>
    <xf numFmtId="2" fontId="7" fillId="0" borderId="0" xfId="0" applyNumberFormat="1" applyFont="1" applyAlignment="1">
      <alignment horizontal="center" wrapText="1"/>
    </xf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20" fillId="0" borderId="0" xfId="0" applyNumberFormat="1" applyFont="1" applyAlignment="1">
      <alignment horizontal="center" vertical="top" wrapText="1"/>
    </xf>
    <xf numFmtId="2" fontId="22" fillId="4" borderId="5" xfId="0" applyNumberFormat="1" applyFont="1" applyFill="1" applyBorder="1" applyAlignment="1">
      <alignment horizontal="center" wrapText="1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6" borderId="12" xfId="0" applyNumberFormat="1" applyFont="1" applyFill="1" applyBorder="1" applyAlignment="1">
      <alignment vertical="top"/>
    </xf>
    <xf numFmtId="2" fontId="10" fillId="10" borderId="12" xfId="0" applyNumberFormat="1" applyFont="1" applyFill="1" applyBorder="1" applyAlignment="1">
      <alignment vertical="top"/>
    </xf>
    <xf numFmtId="2" fontId="23" fillId="10" borderId="12" xfId="0" applyNumberFormat="1" applyFont="1" applyFill="1" applyBorder="1" applyAlignment="1">
      <alignment vertical="top"/>
    </xf>
    <xf numFmtId="2" fontId="23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13" borderId="12" xfId="0" applyNumberFormat="1" applyFont="1" applyFill="1" applyBorder="1" applyAlignment="1">
      <alignment vertical="top"/>
    </xf>
    <xf numFmtId="2" fontId="23" fillId="13" borderId="12" xfId="0" applyNumberFormat="1" applyFont="1" applyFill="1" applyBorder="1" applyAlignment="1">
      <alignment vertical="top"/>
    </xf>
    <xf numFmtId="2" fontId="23" fillId="8" borderId="12" xfId="0" applyNumberFormat="1" applyFont="1" applyFill="1" applyBorder="1" applyAlignment="1">
      <alignment vertical="top"/>
    </xf>
    <xf numFmtId="2" fontId="23" fillId="6" borderId="0" xfId="0" applyNumberFormat="1" applyFont="1" applyFill="1" applyAlignment="1">
      <alignment vertical="top"/>
    </xf>
    <xf numFmtId="2" fontId="23" fillId="8" borderId="0" xfId="0" applyNumberFormat="1" applyFont="1" applyFill="1" applyAlignment="1">
      <alignment vertical="top"/>
    </xf>
    <xf numFmtId="2" fontId="23" fillId="13" borderId="0" xfId="0" applyNumberFormat="1" applyFont="1" applyFill="1" applyAlignment="1">
      <alignment vertical="top"/>
    </xf>
    <xf numFmtId="2" fontId="23" fillId="11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23" fillId="9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3" borderId="0" xfId="0" applyNumberFormat="1" applyFont="1" applyFill="1" applyAlignment="1">
      <alignment vertical="top"/>
    </xf>
    <xf numFmtId="2" fontId="10" fillId="8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24" fillId="13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25" fillId="7" borderId="0" xfId="0" applyNumberFormat="1" applyFont="1" applyFill="1" applyAlignment="1">
      <alignment vertical="top"/>
    </xf>
    <xf numFmtId="2" fontId="25" fillId="6" borderId="0" xfId="0" applyNumberFormat="1" applyFont="1" applyFill="1" applyAlignment="1">
      <alignment vertical="top"/>
    </xf>
    <xf numFmtId="2" fontId="25" fillId="10" borderId="0" xfId="0" applyNumberFormat="1" applyFont="1" applyFill="1" applyAlignment="1">
      <alignment vertical="top"/>
    </xf>
    <xf numFmtId="2" fontId="25" fillId="12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24" fillId="5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1" fillId="6" borderId="0" xfId="0" applyNumberFormat="1" applyFont="1" applyFill="1" applyAlignment="1">
      <alignment vertical="top"/>
    </xf>
    <xf numFmtId="4" fontId="2" fillId="0" borderId="3" xfId="0" applyNumberFormat="1" applyFont="1" applyBorder="1" applyAlignment="1" applyProtection="1">
      <alignment horizontal="center" vertical="top" wrapText="1"/>
      <protection locked="0"/>
    </xf>
    <xf numFmtId="4" fontId="19" fillId="0" borderId="3" xfId="0" applyNumberFormat="1" applyFont="1" applyBorder="1" applyAlignment="1" applyProtection="1">
      <alignment horizontal="center" vertical="top" wrapText="1"/>
      <protection locked="0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6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9" fontId="10" fillId="0" borderId="11" xfId="0" applyNumberFormat="1" applyFont="1" applyBorder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1" xr16:uid="{00000000-0016-0000-01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2" xr16:uid="{00000000-0016-0000-02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6" xr16:uid="{00000000-0016-0000-03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3" xr16:uid="{00000000-0016-0000-04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7" xr16:uid="{00000000-0016-0000-0500-000004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4" xr16:uid="{00000000-0016-0000-0600-00000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_preddela_1" connectionId="5" xr16:uid="{00000000-0016-0000-0700-000006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C00000"/>
  </sheetPr>
  <dimension ref="B4:I41"/>
  <sheetViews>
    <sheetView tabSelected="1" view="pageBreakPreview" zoomScaleNormal="85" zoomScaleSheetLayoutView="100" zoomScalePageLayoutView="120" workbookViewId="0">
      <selection activeCell="G17" sqref="G17"/>
    </sheetView>
  </sheetViews>
  <sheetFormatPr defaultRowHeight="16.5" x14ac:dyDescent="0.3"/>
  <cols>
    <col min="1" max="1" width="2.85546875" style="28" customWidth="1"/>
    <col min="2" max="2" width="10.42578125" style="28" customWidth="1"/>
    <col min="3" max="4" width="9.140625" style="28"/>
    <col min="5" max="5" width="8.28515625" style="28" customWidth="1"/>
    <col min="6" max="6" width="9.5703125" style="28" customWidth="1"/>
    <col min="7" max="7" width="3.28515625" style="28" customWidth="1"/>
    <col min="8" max="8" width="19.85546875" style="28" customWidth="1"/>
    <col min="9" max="9" width="7.28515625" style="28" customWidth="1"/>
    <col min="10" max="10" width="12.7109375" style="28" customWidth="1"/>
    <col min="11" max="262" width="9.140625" style="28"/>
    <col min="263" max="263" width="7.42578125" style="28" customWidth="1"/>
    <col min="264" max="264" width="20.42578125" style="28" customWidth="1"/>
    <col min="265" max="265" width="17.140625" style="28" customWidth="1"/>
    <col min="266" max="266" width="12.7109375" style="28" customWidth="1"/>
    <col min="267" max="518" width="9.140625" style="28"/>
    <col min="519" max="519" width="7.42578125" style="28" customWidth="1"/>
    <col min="520" max="520" width="20.42578125" style="28" customWidth="1"/>
    <col min="521" max="521" width="17.140625" style="28" customWidth="1"/>
    <col min="522" max="522" width="12.7109375" style="28" customWidth="1"/>
    <col min="523" max="774" width="9.140625" style="28"/>
    <col min="775" max="775" width="7.42578125" style="28" customWidth="1"/>
    <col min="776" max="776" width="20.42578125" style="28" customWidth="1"/>
    <col min="777" max="777" width="17.140625" style="28" customWidth="1"/>
    <col min="778" max="778" width="12.7109375" style="28" customWidth="1"/>
    <col min="779" max="1030" width="9.140625" style="28"/>
    <col min="1031" max="1031" width="7.42578125" style="28" customWidth="1"/>
    <col min="1032" max="1032" width="20.42578125" style="28" customWidth="1"/>
    <col min="1033" max="1033" width="17.140625" style="28" customWidth="1"/>
    <col min="1034" max="1034" width="12.7109375" style="28" customWidth="1"/>
    <col min="1035" max="1286" width="9.140625" style="28"/>
    <col min="1287" max="1287" width="7.42578125" style="28" customWidth="1"/>
    <col min="1288" max="1288" width="20.42578125" style="28" customWidth="1"/>
    <col min="1289" max="1289" width="17.140625" style="28" customWidth="1"/>
    <col min="1290" max="1290" width="12.7109375" style="28" customWidth="1"/>
    <col min="1291" max="1542" width="9.140625" style="28"/>
    <col min="1543" max="1543" width="7.42578125" style="28" customWidth="1"/>
    <col min="1544" max="1544" width="20.42578125" style="28" customWidth="1"/>
    <col min="1545" max="1545" width="17.140625" style="28" customWidth="1"/>
    <col min="1546" max="1546" width="12.7109375" style="28" customWidth="1"/>
    <col min="1547" max="1798" width="9.140625" style="28"/>
    <col min="1799" max="1799" width="7.42578125" style="28" customWidth="1"/>
    <col min="1800" max="1800" width="20.42578125" style="28" customWidth="1"/>
    <col min="1801" max="1801" width="17.140625" style="28" customWidth="1"/>
    <col min="1802" max="1802" width="12.7109375" style="28" customWidth="1"/>
    <col min="1803" max="2054" width="9.140625" style="28"/>
    <col min="2055" max="2055" width="7.42578125" style="28" customWidth="1"/>
    <col min="2056" max="2056" width="20.42578125" style="28" customWidth="1"/>
    <col min="2057" max="2057" width="17.140625" style="28" customWidth="1"/>
    <col min="2058" max="2058" width="12.7109375" style="28" customWidth="1"/>
    <col min="2059" max="2310" width="9.140625" style="28"/>
    <col min="2311" max="2311" width="7.42578125" style="28" customWidth="1"/>
    <col min="2312" max="2312" width="20.42578125" style="28" customWidth="1"/>
    <col min="2313" max="2313" width="17.140625" style="28" customWidth="1"/>
    <col min="2314" max="2314" width="12.7109375" style="28" customWidth="1"/>
    <col min="2315" max="2566" width="9.140625" style="28"/>
    <col min="2567" max="2567" width="7.42578125" style="28" customWidth="1"/>
    <col min="2568" max="2568" width="20.42578125" style="28" customWidth="1"/>
    <col min="2569" max="2569" width="17.140625" style="28" customWidth="1"/>
    <col min="2570" max="2570" width="12.7109375" style="28" customWidth="1"/>
    <col min="2571" max="2822" width="9.140625" style="28"/>
    <col min="2823" max="2823" width="7.42578125" style="28" customWidth="1"/>
    <col min="2824" max="2824" width="20.42578125" style="28" customWidth="1"/>
    <col min="2825" max="2825" width="17.140625" style="28" customWidth="1"/>
    <col min="2826" max="2826" width="12.7109375" style="28" customWidth="1"/>
    <col min="2827" max="3078" width="9.140625" style="28"/>
    <col min="3079" max="3079" width="7.42578125" style="28" customWidth="1"/>
    <col min="3080" max="3080" width="20.42578125" style="28" customWidth="1"/>
    <col min="3081" max="3081" width="17.140625" style="28" customWidth="1"/>
    <col min="3082" max="3082" width="12.7109375" style="28" customWidth="1"/>
    <col min="3083" max="3334" width="9.140625" style="28"/>
    <col min="3335" max="3335" width="7.42578125" style="28" customWidth="1"/>
    <col min="3336" max="3336" width="20.42578125" style="28" customWidth="1"/>
    <col min="3337" max="3337" width="17.140625" style="28" customWidth="1"/>
    <col min="3338" max="3338" width="12.7109375" style="28" customWidth="1"/>
    <col min="3339" max="3590" width="9.140625" style="28"/>
    <col min="3591" max="3591" width="7.42578125" style="28" customWidth="1"/>
    <col min="3592" max="3592" width="20.42578125" style="28" customWidth="1"/>
    <col min="3593" max="3593" width="17.140625" style="28" customWidth="1"/>
    <col min="3594" max="3594" width="12.7109375" style="28" customWidth="1"/>
    <col min="3595" max="3846" width="9.140625" style="28"/>
    <col min="3847" max="3847" width="7.42578125" style="28" customWidth="1"/>
    <col min="3848" max="3848" width="20.42578125" style="28" customWidth="1"/>
    <col min="3849" max="3849" width="17.140625" style="28" customWidth="1"/>
    <col min="3850" max="3850" width="12.7109375" style="28" customWidth="1"/>
    <col min="3851" max="4102" width="9.140625" style="28"/>
    <col min="4103" max="4103" width="7.42578125" style="28" customWidth="1"/>
    <col min="4104" max="4104" width="20.42578125" style="28" customWidth="1"/>
    <col min="4105" max="4105" width="17.140625" style="28" customWidth="1"/>
    <col min="4106" max="4106" width="12.7109375" style="28" customWidth="1"/>
    <col min="4107" max="4358" width="9.140625" style="28"/>
    <col min="4359" max="4359" width="7.42578125" style="28" customWidth="1"/>
    <col min="4360" max="4360" width="20.42578125" style="28" customWidth="1"/>
    <col min="4361" max="4361" width="17.140625" style="28" customWidth="1"/>
    <col min="4362" max="4362" width="12.7109375" style="28" customWidth="1"/>
    <col min="4363" max="4614" width="9.140625" style="28"/>
    <col min="4615" max="4615" width="7.42578125" style="28" customWidth="1"/>
    <col min="4616" max="4616" width="20.42578125" style="28" customWidth="1"/>
    <col min="4617" max="4617" width="17.140625" style="28" customWidth="1"/>
    <col min="4618" max="4618" width="12.7109375" style="28" customWidth="1"/>
    <col min="4619" max="4870" width="9.140625" style="28"/>
    <col min="4871" max="4871" width="7.42578125" style="28" customWidth="1"/>
    <col min="4872" max="4872" width="20.42578125" style="28" customWidth="1"/>
    <col min="4873" max="4873" width="17.140625" style="28" customWidth="1"/>
    <col min="4874" max="4874" width="12.7109375" style="28" customWidth="1"/>
    <col min="4875" max="5126" width="9.140625" style="28"/>
    <col min="5127" max="5127" width="7.42578125" style="28" customWidth="1"/>
    <col min="5128" max="5128" width="20.42578125" style="28" customWidth="1"/>
    <col min="5129" max="5129" width="17.140625" style="28" customWidth="1"/>
    <col min="5130" max="5130" width="12.7109375" style="28" customWidth="1"/>
    <col min="5131" max="5382" width="9.140625" style="28"/>
    <col min="5383" max="5383" width="7.42578125" style="28" customWidth="1"/>
    <col min="5384" max="5384" width="20.42578125" style="28" customWidth="1"/>
    <col min="5385" max="5385" width="17.140625" style="28" customWidth="1"/>
    <col min="5386" max="5386" width="12.7109375" style="28" customWidth="1"/>
    <col min="5387" max="5638" width="9.140625" style="28"/>
    <col min="5639" max="5639" width="7.42578125" style="28" customWidth="1"/>
    <col min="5640" max="5640" width="20.42578125" style="28" customWidth="1"/>
    <col min="5641" max="5641" width="17.140625" style="28" customWidth="1"/>
    <col min="5642" max="5642" width="12.7109375" style="28" customWidth="1"/>
    <col min="5643" max="5894" width="9.140625" style="28"/>
    <col min="5895" max="5895" width="7.42578125" style="28" customWidth="1"/>
    <col min="5896" max="5896" width="20.42578125" style="28" customWidth="1"/>
    <col min="5897" max="5897" width="17.140625" style="28" customWidth="1"/>
    <col min="5898" max="5898" width="12.7109375" style="28" customWidth="1"/>
    <col min="5899" max="6150" width="9.140625" style="28"/>
    <col min="6151" max="6151" width="7.42578125" style="28" customWidth="1"/>
    <col min="6152" max="6152" width="20.42578125" style="28" customWidth="1"/>
    <col min="6153" max="6153" width="17.140625" style="28" customWidth="1"/>
    <col min="6154" max="6154" width="12.7109375" style="28" customWidth="1"/>
    <col min="6155" max="6406" width="9.140625" style="28"/>
    <col min="6407" max="6407" width="7.42578125" style="28" customWidth="1"/>
    <col min="6408" max="6408" width="20.42578125" style="28" customWidth="1"/>
    <col min="6409" max="6409" width="17.140625" style="28" customWidth="1"/>
    <col min="6410" max="6410" width="12.7109375" style="28" customWidth="1"/>
    <col min="6411" max="6662" width="9.140625" style="28"/>
    <col min="6663" max="6663" width="7.42578125" style="28" customWidth="1"/>
    <col min="6664" max="6664" width="20.42578125" style="28" customWidth="1"/>
    <col min="6665" max="6665" width="17.140625" style="28" customWidth="1"/>
    <col min="6666" max="6666" width="12.7109375" style="28" customWidth="1"/>
    <col min="6667" max="6918" width="9.140625" style="28"/>
    <col min="6919" max="6919" width="7.42578125" style="28" customWidth="1"/>
    <col min="6920" max="6920" width="20.42578125" style="28" customWidth="1"/>
    <col min="6921" max="6921" width="17.140625" style="28" customWidth="1"/>
    <col min="6922" max="6922" width="12.7109375" style="28" customWidth="1"/>
    <col min="6923" max="7174" width="9.140625" style="28"/>
    <col min="7175" max="7175" width="7.42578125" style="28" customWidth="1"/>
    <col min="7176" max="7176" width="20.42578125" style="28" customWidth="1"/>
    <col min="7177" max="7177" width="17.140625" style="28" customWidth="1"/>
    <col min="7178" max="7178" width="12.7109375" style="28" customWidth="1"/>
    <col min="7179" max="7430" width="9.140625" style="28"/>
    <col min="7431" max="7431" width="7.42578125" style="28" customWidth="1"/>
    <col min="7432" max="7432" width="20.42578125" style="28" customWidth="1"/>
    <col min="7433" max="7433" width="17.140625" style="28" customWidth="1"/>
    <col min="7434" max="7434" width="12.7109375" style="28" customWidth="1"/>
    <col min="7435" max="7686" width="9.140625" style="28"/>
    <col min="7687" max="7687" width="7.42578125" style="28" customWidth="1"/>
    <col min="7688" max="7688" width="20.42578125" style="28" customWidth="1"/>
    <col min="7689" max="7689" width="17.140625" style="28" customWidth="1"/>
    <col min="7690" max="7690" width="12.7109375" style="28" customWidth="1"/>
    <col min="7691" max="7942" width="9.140625" style="28"/>
    <col min="7943" max="7943" width="7.42578125" style="28" customWidth="1"/>
    <col min="7944" max="7944" width="20.42578125" style="28" customWidth="1"/>
    <col min="7945" max="7945" width="17.140625" style="28" customWidth="1"/>
    <col min="7946" max="7946" width="12.7109375" style="28" customWidth="1"/>
    <col min="7947" max="8198" width="9.140625" style="28"/>
    <col min="8199" max="8199" width="7.42578125" style="28" customWidth="1"/>
    <col min="8200" max="8200" width="20.42578125" style="28" customWidth="1"/>
    <col min="8201" max="8201" width="17.140625" style="28" customWidth="1"/>
    <col min="8202" max="8202" width="12.7109375" style="28" customWidth="1"/>
    <col min="8203" max="8454" width="9.140625" style="28"/>
    <col min="8455" max="8455" width="7.42578125" style="28" customWidth="1"/>
    <col min="8456" max="8456" width="20.42578125" style="28" customWidth="1"/>
    <col min="8457" max="8457" width="17.140625" style="28" customWidth="1"/>
    <col min="8458" max="8458" width="12.7109375" style="28" customWidth="1"/>
    <col min="8459" max="8710" width="9.140625" style="28"/>
    <col min="8711" max="8711" width="7.42578125" style="28" customWidth="1"/>
    <col min="8712" max="8712" width="20.42578125" style="28" customWidth="1"/>
    <col min="8713" max="8713" width="17.140625" style="28" customWidth="1"/>
    <col min="8714" max="8714" width="12.7109375" style="28" customWidth="1"/>
    <col min="8715" max="8966" width="9.140625" style="28"/>
    <col min="8967" max="8967" width="7.42578125" style="28" customWidth="1"/>
    <col min="8968" max="8968" width="20.42578125" style="28" customWidth="1"/>
    <col min="8969" max="8969" width="17.140625" style="28" customWidth="1"/>
    <col min="8970" max="8970" width="12.7109375" style="28" customWidth="1"/>
    <col min="8971" max="9222" width="9.140625" style="28"/>
    <col min="9223" max="9223" width="7.42578125" style="28" customWidth="1"/>
    <col min="9224" max="9224" width="20.42578125" style="28" customWidth="1"/>
    <col min="9225" max="9225" width="17.140625" style="28" customWidth="1"/>
    <col min="9226" max="9226" width="12.7109375" style="28" customWidth="1"/>
    <col min="9227" max="9478" width="9.140625" style="28"/>
    <col min="9479" max="9479" width="7.42578125" style="28" customWidth="1"/>
    <col min="9480" max="9480" width="20.42578125" style="28" customWidth="1"/>
    <col min="9481" max="9481" width="17.140625" style="28" customWidth="1"/>
    <col min="9482" max="9482" width="12.7109375" style="28" customWidth="1"/>
    <col min="9483" max="9734" width="9.140625" style="28"/>
    <col min="9735" max="9735" width="7.42578125" style="28" customWidth="1"/>
    <col min="9736" max="9736" width="20.42578125" style="28" customWidth="1"/>
    <col min="9737" max="9737" width="17.140625" style="28" customWidth="1"/>
    <col min="9738" max="9738" width="12.7109375" style="28" customWidth="1"/>
    <col min="9739" max="9990" width="9.140625" style="28"/>
    <col min="9991" max="9991" width="7.42578125" style="28" customWidth="1"/>
    <col min="9992" max="9992" width="20.42578125" style="28" customWidth="1"/>
    <col min="9993" max="9993" width="17.140625" style="28" customWidth="1"/>
    <col min="9994" max="9994" width="12.7109375" style="28" customWidth="1"/>
    <col min="9995" max="10246" width="9.140625" style="28"/>
    <col min="10247" max="10247" width="7.42578125" style="28" customWidth="1"/>
    <col min="10248" max="10248" width="20.42578125" style="28" customWidth="1"/>
    <col min="10249" max="10249" width="17.140625" style="28" customWidth="1"/>
    <col min="10250" max="10250" width="12.7109375" style="28" customWidth="1"/>
    <col min="10251" max="10502" width="9.140625" style="28"/>
    <col min="10503" max="10503" width="7.42578125" style="28" customWidth="1"/>
    <col min="10504" max="10504" width="20.42578125" style="28" customWidth="1"/>
    <col min="10505" max="10505" width="17.140625" style="28" customWidth="1"/>
    <col min="10506" max="10506" width="12.7109375" style="28" customWidth="1"/>
    <col min="10507" max="10758" width="9.140625" style="28"/>
    <col min="10759" max="10759" width="7.42578125" style="28" customWidth="1"/>
    <col min="10760" max="10760" width="20.42578125" style="28" customWidth="1"/>
    <col min="10761" max="10761" width="17.140625" style="28" customWidth="1"/>
    <col min="10762" max="10762" width="12.7109375" style="28" customWidth="1"/>
    <col min="10763" max="11014" width="9.140625" style="28"/>
    <col min="11015" max="11015" width="7.42578125" style="28" customWidth="1"/>
    <col min="11016" max="11016" width="20.42578125" style="28" customWidth="1"/>
    <col min="11017" max="11017" width="17.140625" style="28" customWidth="1"/>
    <col min="11018" max="11018" width="12.7109375" style="28" customWidth="1"/>
    <col min="11019" max="11270" width="9.140625" style="28"/>
    <col min="11271" max="11271" width="7.42578125" style="28" customWidth="1"/>
    <col min="11272" max="11272" width="20.42578125" style="28" customWidth="1"/>
    <col min="11273" max="11273" width="17.140625" style="28" customWidth="1"/>
    <col min="11274" max="11274" width="12.7109375" style="28" customWidth="1"/>
    <col min="11275" max="11526" width="9.140625" style="28"/>
    <col min="11527" max="11527" width="7.42578125" style="28" customWidth="1"/>
    <col min="11528" max="11528" width="20.42578125" style="28" customWidth="1"/>
    <col min="11529" max="11529" width="17.140625" style="28" customWidth="1"/>
    <col min="11530" max="11530" width="12.7109375" style="28" customWidth="1"/>
    <col min="11531" max="11782" width="9.140625" style="28"/>
    <col min="11783" max="11783" width="7.42578125" style="28" customWidth="1"/>
    <col min="11784" max="11784" width="20.42578125" style="28" customWidth="1"/>
    <col min="11785" max="11785" width="17.140625" style="28" customWidth="1"/>
    <col min="11786" max="11786" width="12.7109375" style="28" customWidth="1"/>
    <col min="11787" max="12038" width="9.140625" style="28"/>
    <col min="12039" max="12039" width="7.42578125" style="28" customWidth="1"/>
    <col min="12040" max="12040" width="20.42578125" style="28" customWidth="1"/>
    <col min="12041" max="12041" width="17.140625" style="28" customWidth="1"/>
    <col min="12042" max="12042" width="12.7109375" style="28" customWidth="1"/>
    <col min="12043" max="12294" width="9.140625" style="28"/>
    <col min="12295" max="12295" width="7.42578125" style="28" customWidth="1"/>
    <col min="12296" max="12296" width="20.42578125" style="28" customWidth="1"/>
    <col min="12297" max="12297" width="17.140625" style="28" customWidth="1"/>
    <col min="12298" max="12298" width="12.7109375" style="28" customWidth="1"/>
    <col min="12299" max="12550" width="9.140625" style="28"/>
    <col min="12551" max="12551" width="7.42578125" style="28" customWidth="1"/>
    <col min="12552" max="12552" width="20.42578125" style="28" customWidth="1"/>
    <col min="12553" max="12553" width="17.140625" style="28" customWidth="1"/>
    <col min="12554" max="12554" width="12.7109375" style="28" customWidth="1"/>
    <col min="12555" max="12806" width="9.140625" style="28"/>
    <col min="12807" max="12807" width="7.42578125" style="28" customWidth="1"/>
    <col min="12808" max="12808" width="20.42578125" style="28" customWidth="1"/>
    <col min="12809" max="12809" width="17.140625" style="28" customWidth="1"/>
    <col min="12810" max="12810" width="12.7109375" style="28" customWidth="1"/>
    <col min="12811" max="13062" width="9.140625" style="28"/>
    <col min="13063" max="13063" width="7.42578125" style="28" customWidth="1"/>
    <col min="13064" max="13064" width="20.42578125" style="28" customWidth="1"/>
    <col min="13065" max="13065" width="17.140625" style="28" customWidth="1"/>
    <col min="13066" max="13066" width="12.7109375" style="28" customWidth="1"/>
    <col min="13067" max="13318" width="9.140625" style="28"/>
    <col min="13319" max="13319" width="7.42578125" style="28" customWidth="1"/>
    <col min="13320" max="13320" width="20.42578125" style="28" customWidth="1"/>
    <col min="13321" max="13321" width="17.140625" style="28" customWidth="1"/>
    <col min="13322" max="13322" width="12.7109375" style="28" customWidth="1"/>
    <col min="13323" max="13574" width="9.140625" style="28"/>
    <col min="13575" max="13575" width="7.42578125" style="28" customWidth="1"/>
    <col min="13576" max="13576" width="20.42578125" style="28" customWidth="1"/>
    <col min="13577" max="13577" width="17.140625" style="28" customWidth="1"/>
    <col min="13578" max="13578" width="12.7109375" style="28" customWidth="1"/>
    <col min="13579" max="13830" width="9.140625" style="28"/>
    <col min="13831" max="13831" width="7.42578125" style="28" customWidth="1"/>
    <col min="13832" max="13832" width="20.42578125" style="28" customWidth="1"/>
    <col min="13833" max="13833" width="17.140625" style="28" customWidth="1"/>
    <col min="13834" max="13834" width="12.7109375" style="28" customWidth="1"/>
    <col min="13835" max="14086" width="9.140625" style="28"/>
    <col min="14087" max="14087" width="7.42578125" style="28" customWidth="1"/>
    <col min="14088" max="14088" width="20.42578125" style="28" customWidth="1"/>
    <col min="14089" max="14089" width="17.140625" style="28" customWidth="1"/>
    <col min="14090" max="14090" width="12.7109375" style="28" customWidth="1"/>
    <col min="14091" max="14342" width="9.140625" style="28"/>
    <col min="14343" max="14343" width="7.42578125" style="28" customWidth="1"/>
    <col min="14344" max="14344" width="20.42578125" style="28" customWidth="1"/>
    <col min="14345" max="14345" width="17.140625" style="28" customWidth="1"/>
    <col min="14346" max="14346" width="12.7109375" style="28" customWidth="1"/>
    <col min="14347" max="14598" width="9.140625" style="28"/>
    <col min="14599" max="14599" width="7.42578125" style="28" customWidth="1"/>
    <col min="14600" max="14600" width="20.42578125" style="28" customWidth="1"/>
    <col min="14601" max="14601" width="17.140625" style="28" customWidth="1"/>
    <col min="14602" max="14602" width="12.7109375" style="28" customWidth="1"/>
    <col min="14603" max="14854" width="9.140625" style="28"/>
    <col min="14855" max="14855" width="7.42578125" style="28" customWidth="1"/>
    <col min="14856" max="14856" width="20.42578125" style="28" customWidth="1"/>
    <col min="14857" max="14857" width="17.140625" style="28" customWidth="1"/>
    <col min="14858" max="14858" width="12.7109375" style="28" customWidth="1"/>
    <col min="14859" max="15110" width="9.140625" style="28"/>
    <col min="15111" max="15111" width="7.42578125" style="28" customWidth="1"/>
    <col min="15112" max="15112" width="20.42578125" style="28" customWidth="1"/>
    <col min="15113" max="15113" width="17.140625" style="28" customWidth="1"/>
    <col min="15114" max="15114" width="12.7109375" style="28" customWidth="1"/>
    <col min="15115" max="15366" width="9.140625" style="28"/>
    <col min="15367" max="15367" width="7.42578125" style="28" customWidth="1"/>
    <col min="15368" max="15368" width="20.42578125" style="28" customWidth="1"/>
    <col min="15369" max="15369" width="17.140625" style="28" customWidth="1"/>
    <col min="15370" max="15370" width="12.7109375" style="28" customWidth="1"/>
    <col min="15371" max="15622" width="9.140625" style="28"/>
    <col min="15623" max="15623" width="7.42578125" style="28" customWidth="1"/>
    <col min="15624" max="15624" width="20.42578125" style="28" customWidth="1"/>
    <col min="15625" max="15625" width="17.140625" style="28" customWidth="1"/>
    <col min="15626" max="15626" width="12.7109375" style="28" customWidth="1"/>
    <col min="15627" max="15878" width="9.140625" style="28"/>
    <col min="15879" max="15879" width="7.42578125" style="28" customWidth="1"/>
    <col min="15880" max="15880" width="20.42578125" style="28" customWidth="1"/>
    <col min="15881" max="15881" width="17.140625" style="28" customWidth="1"/>
    <col min="15882" max="15882" width="12.7109375" style="28" customWidth="1"/>
    <col min="15883" max="16134" width="9.140625" style="28"/>
    <col min="16135" max="16135" width="7.42578125" style="28" customWidth="1"/>
    <col min="16136" max="16136" width="20.42578125" style="28" customWidth="1"/>
    <col min="16137" max="16137" width="17.140625" style="28" customWidth="1"/>
    <col min="16138" max="16138" width="12.7109375" style="28" customWidth="1"/>
    <col min="16139" max="16384" width="9.140625" style="28"/>
  </cols>
  <sheetData>
    <row r="4" spans="3:9" x14ac:dyDescent="0.3">
      <c r="C4" s="27" t="s">
        <v>214</v>
      </c>
      <c r="E4" s="105" t="s">
        <v>258</v>
      </c>
      <c r="F4" s="105"/>
      <c r="G4" s="105"/>
      <c r="H4" s="105"/>
    </row>
    <row r="6" spans="3:9" ht="51.75" customHeight="1" x14ac:dyDescent="0.3">
      <c r="C6" s="29" t="s">
        <v>212</v>
      </c>
      <c r="D6" s="30"/>
      <c r="E6" s="106" t="s">
        <v>259</v>
      </c>
      <c r="F6" s="106"/>
      <c r="G6" s="106"/>
      <c r="H6" s="106"/>
      <c r="I6" s="30"/>
    </row>
    <row r="8" spans="3:9" x14ac:dyDescent="0.3">
      <c r="C8" s="27" t="s">
        <v>213</v>
      </c>
      <c r="E8" s="107" t="s">
        <v>336</v>
      </c>
      <c r="F8" s="107"/>
      <c r="G8" s="107"/>
      <c r="H8" s="107"/>
    </row>
    <row r="9" spans="3:9" ht="17.25" x14ac:dyDescent="0.3">
      <c r="E9" s="31"/>
    </row>
    <row r="11" spans="3:9" x14ac:dyDescent="0.3">
      <c r="C11" s="32" t="s">
        <v>53</v>
      </c>
    </row>
    <row r="14" spans="3:9" x14ac:dyDescent="0.3">
      <c r="C14" s="33" t="s">
        <v>192</v>
      </c>
      <c r="D14" s="34"/>
      <c r="E14" s="34"/>
      <c r="F14" s="34"/>
      <c r="G14" s="34"/>
      <c r="H14" s="35" t="str">
        <f>'1. PREDDELA'!F65</f>
        <v/>
      </c>
    </row>
    <row r="15" spans="3:9" x14ac:dyDescent="0.3">
      <c r="H15" s="36"/>
    </row>
    <row r="16" spans="3:9" x14ac:dyDescent="0.3">
      <c r="C16" s="33" t="s">
        <v>193</v>
      </c>
      <c r="D16" s="34"/>
      <c r="E16" s="34"/>
      <c r="F16" s="34"/>
      <c r="G16" s="34"/>
      <c r="H16" s="35" t="str">
        <f>'2. ZEMELJSKA DELA'!F45</f>
        <v/>
      </c>
    </row>
    <row r="17" spans="3:8" x14ac:dyDescent="0.3">
      <c r="H17" s="36"/>
    </row>
    <row r="18" spans="3:8" x14ac:dyDescent="0.3">
      <c r="C18" s="33" t="s">
        <v>194</v>
      </c>
      <c r="D18" s="34"/>
      <c r="E18" s="34"/>
      <c r="F18" s="34"/>
      <c r="G18" s="34"/>
      <c r="H18" s="35" t="str">
        <f>'3. VOZIŠČNE KONSTRUKCIJE'!F45</f>
        <v/>
      </c>
    </row>
    <row r="19" spans="3:8" x14ac:dyDescent="0.3">
      <c r="H19" s="36"/>
    </row>
    <row r="20" spans="3:8" x14ac:dyDescent="0.3">
      <c r="C20" s="33" t="s">
        <v>195</v>
      </c>
      <c r="D20" s="34"/>
      <c r="E20" s="34"/>
      <c r="F20" s="34"/>
      <c r="G20" s="34"/>
      <c r="H20" s="35" t="str">
        <f>'4. ODVODNJAVANJE'!F43</f>
        <v/>
      </c>
    </row>
    <row r="21" spans="3:8" x14ac:dyDescent="0.3">
      <c r="H21" s="36"/>
    </row>
    <row r="22" spans="3:8" x14ac:dyDescent="0.3">
      <c r="C22" s="33" t="s">
        <v>196</v>
      </c>
      <c r="D22" s="34"/>
      <c r="E22" s="34"/>
      <c r="F22" s="34"/>
      <c r="G22" s="34"/>
      <c r="H22" s="35" t="str">
        <f>'5. GRADBENA IN OBRTNIŠKA DELA'!F23</f>
        <v/>
      </c>
    </row>
    <row r="23" spans="3:8" x14ac:dyDescent="0.3">
      <c r="H23" s="36"/>
    </row>
    <row r="24" spans="3:8" x14ac:dyDescent="0.3">
      <c r="C24" s="33" t="s">
        <v>197</v>
      </c>
      <c r="D24" s="34"/>
      <c r="E24" s="34"/>
      <c r="F24" s="34"/>
      <c r="G24" s="34"/>
      <c r="H24" s="35" t="str">
        <f>'6. OPREMA CEST'!F28</f>
        <v/>
      </c>
    </row>
    <row r="25" spans="3:8" x14ac:dyDescent="0.3">
      <c r="H25" s="36"/>
    </row>
    <row r="26" spans="3:8" x14ac:dyDescent="0.3">
      <c r="C26" s="33" t="s">
        <v>198</v>
      </c>
      <c r="D26" s="34"/>
      <c r="E26" s="34"/>
      <c r="F26" s="34"/>
      <c r="G26" s="34"/>
      <c r="H26" s="35" t="str">
        <f>'7. TUJE STORITVE'!F34</f>
        <v/>
      </c>
    </row>
    <row r="27" spans="3:8" x14ac:dyDescent="0.3">
      <c r="H27" s="36"/>
    </row>
    <row r="28" spans="3:8" x14ac:dyDescent="0.3">
      <c r="C28" s="33" t="s">
        <v>348</v>
      </c>
      <c r="D28" s="34"/>
      <c r="E28" s="34"/>
      <c r="F28" s="34"/>
      <c r="G28" s="34"/>
      <c r="H28" s="35" t="str">
        <f>IF(SUM(H14:H26)=0,"",SUM(H14:H26)*0.05)</f>
        <v/>
      </c>
    </row>
    <row r="31" spans="3:8" x14ac:dyDescent="0.3">
      <c r="F31" s="37" t="s">
        <v>54</v>
      </c>
      <c r="H31" s="36" t="str">
        <f>IF(SUM(H14:H28)=0,"",SUM(H14:H28))</f>
        <v/>
      </c>
    </row>
    <row r="32" spans="3:8" x14ac:dyDescent="0.3">
      <c r="F32" s="37"/>
      <c r="H32" s="36"/>
    </row>
    <row r="33" spans="2:8" x14ac:dyDescent="0.3">
      <c r="F33" s="37" t="s">
        <v>207</v>
      </c>
      <c r="H33" s="36" t="str">
        <f>IF(SUM(H31)=0,"",SUM(0.22*H31))</f>
        <v/>
      </c>
    </row>
    <row r="34" spans="2:8" x14ac:dyDescent="0.3">
      <c r="H34" s="36"/>
    </row>
    <row r="35" spans="2:8" x14ac:dyDescent="0.3">
      <c r="H35" s="38"/>
    </row>
    <row r="36" spans="2:8" x14ac:dyDescent="0.3">
      <c r="C36" s="39" t="s">
        <v>55</v>
      </c>
      <c r="D36" s="34"/>
      <c r="E36" s="34"/>
      <c r="F36" s="34"/>
      <c r="G36" s="34"/>
      <c r="H36" s="40" t="str">
        <f>IF(SUM(H31:H33)=0,"",SUM(H31:H33))</f>
        <v/>
      </c>
    </row>
    <row r="41" spans="2:8" ht="17.25" hidden="1" thickBot="1" x14ac:dyDescent="0.35">
      <c r="B41" s="104" t="s">
        <v>56</v>
      </c>
      <c r="C41" s="104"/>
      <c r="D41" s="104"/>
      <c r="E41" s="104"/>
      <c r="F41" s="41">
        <v>1</v>
      </c>
    </row>
  </sheetData>
  <sheetProtection algorithmName="SHA-512" hashValue="KC8o4xUe8/fGC3ILf4RUacS7zeO5qqebEZ+t+VOLbiqn6oYnyFTLNzbJOlzYT9CCmBEx+XA29t20OUFLhZlk/Q==" saltValue="3YAzYK1+J0gzVKfi7gsV6g==" spinCount="100000" sheet="1" select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FFC000"/>
  </sheetPr>
  <dimension ref="A1:I65"/>
  <sheetViews>
    <sheetView view="pageBreakPreview" zoomScaleNormal="115" zoomScaleSheetLayoutView="100" zoomScalePageLayoutView="140" workbookViewId="0">
      <pane ySplit="2" topLeftCell="A3" activePane="bottomLeft" state="frozen"/>
      <selection activeCell="H28" sqref="H28"/>
      <selection pane="bottomLeft" activeCell="F8" sqref="F8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6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47</v>
      </c>
      <c r="C2" s="8" t="s">
        <v>52</v>
      </c>
      <c r="D2" s="8" t="s">
        <v>48</v>
      </c>
      <c r="E2" s="9" t="s">
        <v>49</v>
      </c>
      <c r="F2" s="9" t="s">
        <v>50</v>
      </c>
      <c r="G2" s="9" t="s">
        <v>51</v>
      </c>
      <c r="I2" s="65" t="s">
        <v>57</v>
      </c>
    </row>
    <row r="3" spans="1:9" x14ac:dyDescent="0.2">
      <c r="B3" s="10"/>
      <c r="C3" s="10"/>
      <c r="D3" s="11"/>
      <c r="E3" s="12"/>
      <c r="F3" s="12"/>
      <c r="G3" s="12"/>
    </row>
    <row r="4" spans="1:9" ht="15.75" x14ac:dyDescent="0.2">
      <c r="B4" s="110" t="s">
        <v>0</v>
      </c>
      <c r="C4" s="110"/>
      <c r="D4" s="110"/>
      <c r="E4" s="110"/>
      <c r="F4" s="110"/>
      <c r="G4" s="110"/>
    </row>
    <row r="5" spans="1:9" ht="12.75" customHeight="1" x14ac:dyDescent="0.2">
      <c r="B5" s="13"/>
      <c r="C5" s="13"/>
      <c r="D5" s="13"/>
      <c r="E5" s="14" t="str">
        <f>IF(SUM(E8:E11)=0,0,"")</f>
        <v/>
      </c>
      <c r="F5" s="14"/>
      <c r="G5" s="14"/>
    </row>
    <row r="6" spans="1:9" ht="21.2" customHeight="1" x14ac:dyDescent="0.3">
      <c r="B6" s="111" t="s">
        <v>37</v>
      </c>
      <c r="C6" s="112"/>
      <c r="D6" s="112"/>
      <c r="E6" s="15" t="str">
        <f>IF(SUM(E8:E11)=0,0,"")</f>
        <v/>
      </c>
      <c r="F6" s="15"/>
      <c r="G6" s="16"/>
    </row>
    <row r="7" spans="1:9" x14ac:dyDescent="0.2">
      <c r="E7" s="14" t="str">
        <f>IF(SUM(E8:E11)=0,0,"")</f>
        <v/>
      </c>
      <c r="F7" s="14"/>
      <c r="G7" s="14"/>
    </row>
    <row r="8" spans="1:9" ht="38.25" x14ac:dyDescent="0.2">
      <c r="B8" s="17" t="s">
        <v>2</v>
      </c>
      <c r="C8" s="18" t="s">
        <v>1</v>
      </c>
      <c r="D8" s="19" t="s">
        <v>267</v>
      </c>
      <c r="E8" s="49">
        <f>107.3/1000</f>
        <v>0.10729999999999999</v>
      </c>
      <c r="F8" s="102"/>
      <c r="G8" s="20" t="str">
        <f t="shared" ref="G8:G13" si="0">IF(F8="","",E8*F8)</f>
        <v/>
      </c>
      <c r="I8" s="98">
        <v>1410</v>
      </c>
    </row>
    <row r="9" spans="1:9" ht="38.25" x14ac:dyDescent="0.2">
      <c r="B9" s="17" t="s">
        <v>3</v>
      </c>
      <c r="C9" s="18" t="s">
        <v>1</v>
      </c>
      <c r="D9" s="19" t="s">
        <v>268</v>
      </c>
      <c r="E9" s="49">
        <f>+E8</f>
        <v>0.10729999999999999</v>
      </c>
      <c r="F9" s="102"/>
      <c r="G9" s="20" t="str">
        <f t="shared" si="0"/>
        <v/>
      </c>
      <c r="I9" s="90">
        <v>0</v>
      </c>
    </row>
    <row r="10" spans="1:9" ht="38.25" x14ac:dyDescent="0.2">
      <c r="B10" s="17" t="s">
        <v>5</v>
      </c>
      <c r="C10" s="18" t="s">
        <v>4</v>
      </c>
      <c r="D10" s="19" t="s">
        <v>269</v>
      </c>
      <c r="E10" s="49">
        <v>15</v>
      </c>
      <c r="F10" s="102"/>
      <c r="G10" s="20" t="str">
        <f t="shared" si="0"/>
        <v/>
      </c>
      <c r="I10" s="98">
        <v>23</v>
      </c>
    </row>
    <row r="11" spans="1:9" ht="38.25" x14ac:dyDescent="0.2">
      <c r="B11" s="17" t="s">
        <v>6</v>
      </c>
      <c r="C11" s="18" t="s">
        <v>4</v>
      </c>
      <c r="D11" s="19" t="s">
        <v>270</v>
      </c>
      <c r="E11" s="49">
        <f>15+8+4+10</f>
        <v>37</v>
      </c>
      <c r="F11" s="102"/>
      <c r="G11" s="20" t="str">
        <f t="shared" si="0"/>
        <v/>
      </c>
      <c r="I11" s="90">
        <v>0</v>
      </c>
    </row>
    <row r="12" spans="1:9" ht="38.25" x14ac:dyDescent="0.2">
      <c r="B12" s="17" t="s">
        <v>338</v>
      </c>
      <c r="C12" s="18" t="s">
        <v>11</v>
      </c>
      <c r="D12" s="19" t="s">
        <v>337</v>
      </c>
      <c r="E12" s="20">
        <f>87+49.8</f>
        <v>136.80000000000001</v>
      </c>
      <c r="F12" s="102"/>
      <c r="G12" s="20" t="str">
        <f t="shared" si="0"/>
        <v/>
      </c>
      <c r="I12" s="90"/>
    </row>
    <row r="13" spans="1:9" ht="51" x14ac:dyDescent="0.2">
      <c r="B13" s="17" t="s">
        <v>339</v>
      </c>
      <c r="C13" s="18" t="s">
        <v>4</v>
      </c>
      <c r="D13" s="19" t="s">
        <v>340</v>
      </c>
      <c r="E13" s="20">
        <v>23</v>
      </c>
      <c r="F13" s="102"/>
      <c r="G13" s="20" t="str">
        <f t="shared" si="0"/>
        <v/>
      </c>
      <c r="I13" s="90"/>
    </row>
    <row r="14" spans="1:9" x14ac:dyDescent="0.2">
      <c r="E14" s="21" t="str">
        <f>IF(AND(E16=0,E21=0,E29=0,E45=0),0,"")</f>
        <v/>
      </c>
      <c r="G14" s="21"/>
    </row>
    <row r="15" spans="1:9" ht="21.2" customHeight="1" x14ac:dyDescent="0.3">
      <c r="B15" s="111" t="s">
        <v>38</v>
      </c>
      <c r="C15" s="112"/>
      <c r="D15" s="112"/>
      <c r="E15" s="15" t="str">
        <f>IF(AND(E16=0,E21=0,E29=0,E45=0),0,"")</f>
        <v/>
      </c>
      <c r="F15" s="15"/>
      <c r="G15" s="16"/>
    </row>
    <row r="16" spans="1:9" ht="21.2" customHeight="1" x14ac:dyDescent="0.25">
      <c r="B16" s="113" t="s">
        <v>39</v>
      </c>
      <c r="C16" s="113"/>
      <c r="D16" s="113"/>
      <c r="E16" s="22" t="str">
        <f>IF(SUM(E18:E19)=0,0,"")</f>
        <v/>
      </c>
      <c r="F16" s="22"/>
      <c r="G16" s="22"/>
    </row>
    <row r="17" spans="2:9" x14ac:dyDescent="0.2">
      <c r="E17" s="14" t="str">
        <f>IF(SUM(E18:E19)=0,0,"")</f>
        <v/>
      </c>
      <c r="F17" s="14"/>
      <c r="G17" s="14"/>
    </row>
    <row r="18" spans="2:9" ht="38.25" x14ac:dyDescent="0.2">
      <c r="B18" s="17" t="s">
        <v>9</v>
      </c>
      <c r="C18" s="18" t="s">
        <v>8</v>
      </c>
      <c r="D18" s="19" t="s">
        <v>58</v>
      </c>
      <c r="E18" s="49">
        <v>20</v>
      </c>
      <c r="F18" s="102"/>
      <c r="G18" s="20" t="str">
        <f t="shared" ref="G18:G19" si="1">IF(F18="","",E18*F18)</f>
        <v/>
      </c>
      <c r="I18" s="78">
        <v>14</v>
      </c>
    </row>
    <row r="19" spans="2:9" ht="25.5" x14ac:dyDescent="0.2">
      <c r="B19" s="17" t="s">
        <v>231</v>
      </c>
      <c r="C19" s="18" t="s">
        <v>7</v>
      </c>
      <c r="D19" s="19" t="s">
        <v>232</v>
      </c>
      <c r="E19" s="49">
        <v>5</v>
      </c>
      <c r="F19" s="102"/>
      <c r="G19" s="20" t="str">
        <f t="shared" si="1"/>
        <v/>
      </c>
      <c r="I19" s="82">
        <v>1</v>
      </c>
    </row>
    <row r="20" spans="2:9" x14ac:dyDescent="0.2">
      <c r="E20" s="14" t="str">
        <f>IF(SUM(E23:E27)=0,0,"")</f>
        <v/>
      </c>
      <c r="F20" s="14"/>
      <c r="G20" s="14"/>
    </row>
    <row r="21" spans="2:9" ht="21.75" customHeight="1" x14ac:dyDescent="0.25">
      <c r="B21" s="114" t="s">
        <v>40</v>
      </c>
      <c r="C21" s="114"/>
      <c r="D21" s="114"/>
      <c r="E21" s="52" t="str">
        <f>IF(SUM(E23:E27)=0,0,"")</f>
        <v/>
      </c>
      <c r="F21" s="52"/>
      <c r="G21" s="52"/>
    </row>
    <row r="22" spans="2:9" x14ac:dyDescent="0.2">
      <c r="E22" s="14" t="str">
        <f>IF(SUM(E23:E27)=0,0,"")</f>
        <v/>
      </c>
      <c r="F22" s="14"/>
      <c r="G22" s="14"/>
    </row>
    <row r="23" spans="2:9" ht="25.5" x14ac:dyDescent="0.2">
      <c r="B23" s="17" t="s">
        <v>10</v>
      </c>
      <c r="C23" s="18" t="s">
        <v>4</v>
      </c>
      <c r="D23" s="19" t="s">
        <v>260</v>
      </c>
      <c r="E23" s="49">
        <f>5+4+5+1</f>
        <v>15</v>
      </c>
      <c r="F23" s="102"/>
      <c r="G23" s="20" t="str">
        <f>IF(F23="","",E23*F23)</f>
        <v/>
      </c>
      <c r="I23" s="89">
        <v>16</v>
      </c>
    </row>
    <row r="24" spans="2:9" ht="38.25" x14ac:dyDescent="0.2">
      <c r="B24" s="17" t="s">
        <v>12</v>
      </c>
      <c r="C24" s="18" t="s">
        <v>11</v>
      </c>
      <c r="D24" s="19" t="s">
        <v>265</v>
      </c>
      <c r="E24" s="20">
        <f>7+23</f>
        <v>30</v>
      </c>
      <c r="F24" s="102"/>
      <c r="G24" s="20" t="str">
        <f t="shared" ref="G24:G27" si="2">IF(F24="","",E24*F24)</f>
        <v/>
      </c>
      <c r="I24" s="86">
        <v>0</v>
      </c>
    </row>
    <row r="25" spans="2:9" ht="25.5" x14ac:dyDescent="0.2">
      <c r="B25" s="17" t="s">
        <v>13</v>
      </c>
      <c r="C25" s="18" t="s">
        <v>4</v>
      </c>
      <c r="D25" s="19" t="s">
        <v>266</v>
      </c>
      <c r="E25" s="20">
        <v>1</v>
      </c>
      <c r="F25" s="102"/>
      <c r="G25" s="20" t="str">
        <f t="shared" si="2"/>
        <v/>
      </c>
      <c r="I25" s="87">
        <v>0</v>
      </c>
    </row>
    <row r="26" spans="2:9" ht="25.5" x14ac:dyDescent="0.2">
      <c r="B26" s="17" t="s">
        <v>14</v>
      </c>
      <c r="C26" s="18" t="s">
        <v>8</v>
      </c>
      <c r="D26" s="19" t="s">
        <v>275</v>
      </c>
      <c r="E26" s="20">
        <v>20</v>
      </c>
      <c r="F26" s="102"/>
      <c r="G26" s="20" t="str">
        <f t="shared" si="2"/>
        <v/>
      </c>
      <c r="I26" s="86">
        <v>0</v>
      </c>
    </row>
    <row r="27" spans="2:9" ht="25.5" x14ac:dyDescent="0.2">
      <c r="B27" s="17" t="s">
        <v>208</v>
      </c>
      <c r="C27" s="18" t="s">
        <v>4</v>
      </c>
      <c r="D27" s="19" t="s">
        <v>209</v>
      </c>
      <c r="E27" s="49">
        <f>3+2+3+1</f>
        <v>9</v>
      </c>
      <c r="F27" s="102"/>
      <c r="G27" s="20" t="str">
        <f t="shared" si="2"/>
        <v/>
      </c>
      <c r="I27" s="87">
        <v>0</v>
      </c>
    </row>
    <row r="28" spans="2:9" x14ac:dyDescent="0.2">
      <c r="E28" s="23" t="str">
        <f>IF(SUM(E31:E43)=0,0,"")</f>
        <v/>
      </c>
      <c r="F28" s="23"/>
      <c r="G28" s="23"/>
    </row>
    <row r="29" spans="2:9" ht="21.2" customHeight="1" x14ac:dyDescent="0.2">
      <c r="B29" s="114" t="s">
        <v>41</v>
      </c>
      <c r="C29" s="114"/>
      <c r="D29" s="114"/>
      <c r="E29" s="24" t="str">
        <f>IF(SUM(E31:E43)=0,0,"")</f>
        <v/>
      </c>
      <c r="F29" s="24"/>
      <c r="G29" s="24"/>
    </row>
    <row r="30" spans="2:9" x14ac:dyDescent="0.2">
      <c r="E30" s="23" t="str">
        <f>IF(SUM(E31:E43)=0,0,"")</f>
        <v/>
      </c>
      <c r="F30" s="23"/>
      <c r="G30" s="23"/>
    </row>
    <row r="31" spans="2:9" ht="38.25" x14ac:dyDescent="0.2">
      <c r="B31" s="17" t="s">
        <v>16</v>
      </c>
      <c r="C31" s="18" t="s">
        <v>8</v>
      </c>
      <c r="D31" s="19" t="s">
        <v>271</v>
      </c>
      <c r="E31" s="49">
        <f>(237.7-53.2+156.8+43.6)*1.15</f>
        <v>442.63499999999999</v>
      </c>
      <c r="F31" s="102"/>
      <c r="G31" s="20" t="str">
        <f t="shared" ref="G31:G43" si="3">IF(F31="","",E31*F31)</f>
        <v/>
      </c>
      <c r="I31" s="91">
        <v>3</v>
      </c>
    </row>
    <row r="32" spans="2:9" ht="38.25" x14ac:dyDescent="0.2">
      <c r="B32" s="17" t="s">
        <v>17</v>
      </c>
      <c r="C32" s="18" t="s">
        <v>8</v>
      </c>
      <c r="D32" s="19" t="s">
        <v>272</v>
      </c>
      <c r="E32" s="49">
        <f>(242+9.5+88)*1.1</f>
        <v>373.45000000000005</v>
      </c>
      <c r="F32" s="102"/>
      <c r="G32" s="20" t="str">
        <f t="shared" si="3"/>
        <v/>
      </c>
      <c r="I32" s="78">
        <v>5</v>
      </c>
    </row>
    <row r="33" spans="2:9" ht="38.25" x14ac:dyDescent="0.2">
      <c r="B33" s="17" t="s">
        <v>18</v>
      </c>
      <c r="C33" s="18" t="s">
        <v>8</v>
      </c>
      <c r="D33" s="19" t="s">
        <v>273</v>
      </c>
      <c r="E33" s="49">
        <f>666.3*1.1</f>
        <v>732.93000000000006</v>
      </c>
      <c r="F33" s="102"/>
      <c r="G33" s="20" t="str">
        <f t="shared" si="3"/>
        <v/>
      </c>
      <c r="I33" s="78">
        <v>7</v>
      </c>
    </row>
    <row r="34" spans="2:9" ht="38.25" x14ac:dyDescent="0.2">
      <c r="B34" s="17" t="s">
        <v>19</v>
      </c>
      <c r="C34" s="18" t="s">
        <v>8</v>
      </c>
      <c r="D34" s="19" t="s">
        <v>250</v>
      </c>
      <c r="E34" s="49">
        <f>E37*0.3</f>
        <v>4.95</v>
      </c>
      <c r="F34" s="102"/>
      <c r="G34" s="20" t="str">
        <f t="shared" si="3"/>
        <v/>
      </c>
      <c r="I34" s="85">
        <v>0</v>
      </c>
    </row>
    <row r="35" spans="2:9" ht="38.25" x14ac:dyDescent="0.2">
      <c r="B35" s="17" t="s">
        <v>20</v>
      </c>
      <c r="C35" s="18" t="s">
        <v>8</v>
      </c>
      <c r="D35" s="19" t="s">
        <v>257</v>
      </c>
      <c r="E35" s="49">
        <f>E38*0.5</f>
        <v>13.25</v>
      </c>
      <c r="F35" s="102"/>
      <c r="G35" s="20" t="str">
        <f t="shared" si="3"/>
        <v/>
      </c>
      <c r="I35" s="85">
        <v>0</v>
      </c>
    </row>
    <row r="36" spans="2:9" ht="38.25" x14ac:dyDescent="0.2">
      <c r="B36" s="17" t="s">
        <v>21</v>
      </c>
      <c r="C36" s="18" t="s">
        <v>8</v>
      </c>
      <c r="D36" s="19" t="s">
        <v>251</v>
      </c>
      <c r="E36" s="49">
        <f>E39*0.5</f>
        <v>12.399999999999999</v>
      </c>
      <c r="F36" s="102"/>
      <c r="G36" s="20" t="str">
        <f t="shared" si="3"/>
        <v/>
      </c>
      <c r="I36" s="85">
        <v>0</v>
      </c>
    </row>
    <row r="37" spans="2:9" ht="38.25" x14ac:dyDescent="0.2">
      <c r="B37" s="17" t="s">
        <v>22</v>
      </c>
      <c r="C37" s="18" t="s">
        <v>11</v>
      </c>
      <c r="D37" s="19" t="s">
        <v>249</v>
      </c>
      <c r="E37" s="49">
        <f>1.5+9.5+2+1.5+2</f>
        <v>16.5</v>
      </c>
      <c r="F37" s="102"/>
      <c r="G37" s="20" t="str">
        <f t="shared" si="3"/>
        <v/>
      </c>
      <c r="I37" s="78">
        <v>1</v>
      </c>
    </row>
    <row r="38" spans="2:9" ht="38.25" x14ac:dyDescent="0.2">
      <c r="B38" s="17" t="s">
        <v>23</v>
      </c>
      <c r="C38" s="18" t="s">
        <v>11</v>
      </c>
      <c r="D38" s="19" t="s">
        <v>256</v>
      </c>
      <c r="E38" s="49">
        <f>7+5+8+5+1.5</f>
        <v>26.5</v>
      </c>
      <c r="F38" s="102"/>
      <c r="G38" s="20" t="str">
        <f t="shared" si="3"/>
        <v/>
      </c>
      <c r="I38" s="78">
        <v>1.1000000000000001</v>
      </c>
    </row>
    <row r="39" spans="2:9" ht="38.25" x14ac:dyDescent="0.2">
      <c r="B39" s="17" t="s">
        <v>24</v>
      </c>
      <c r="C39" s="18" t="s">
        <v>11</v>
      </c>
      <c r="D39" s="19" t="s">
        <v>248</v>
      </c>
      <c r="E39" s="49">
        <f>7.6+17.2</f>
        <v>24.799999999999997</v>
      </c>
      <c r="F39" s="102"/>
      <c r="G39" s="20" t="str">
        <f t="shared" si="3"/>
        <v/>
      </c>
      <c r="I39" s="78">
        <v>1.2</v>
      </c>
    </row>
    <row r="40" spans="2:9" ht="25.5" x14ac:dyDescent="0.2">
      <c r="B40" s="17" t="s">
        <v>25</v>
      </c>
      <c r="C40" s="18" t="s">
        <v>11</v>
      </c>
      <c r="D40" s="19" t="s">
        <v>59</v>
      </c>
      <c r="E40" s="49">
        <f>18+7.5+4+36.5+14</f>
        <v>80</v>
      </c>
      <c r="F40" s="102"/>
      <c r="G40" s="20" t="str">
        <f t="shared" si="3"/>
        <v/>
      </c>
      <c r="I40" s="92">
        <v>14</v>
      </c>
    </row>
    <row r="41" spans="2:9" ht="25.5" x14ac:dyDescent="0.2">
      <c r="B41" s="17" t="s">
        <v>26</v>
      </c>
      <c r="C41" s="18" t="s">
        <v>11</v>
      </c>
      <c r="D41" s="19" t="s">
        <v>228</v>
      </c>
      <c r="E41" s="49">
        <f>2+14.5+11.5+32</f>
        <v>60</v>
      </c>
      <c r="F41" s="102"/>
      <c r="G41" s="20" t="str">
        <f t="shared" si="3"/>
        <v/>
      </c>
      <c r="I41" s="92">
        <v>14</v>
      </c>
    </row>
    <row r="42" spans="2:9" ht="25.5" x14ac:dyDescent="0.2">
      <c r="B42" s="17" t="s">
        <v>27</v>
      </c>
      <c r="C42" s="18" t="s">
        <v>11</v>
      </c>
      <c r="D42" s="19" t="s">
        <v>229</v>
      </c>
      <c r="E42" s="49">
        <f>9.3+7</f>
        <v>16.3</v>
      </c>
      <c r="F42" s="102"/>
      <c r="G42" s="20" t="str">
        <f t="shared" si="3"/>
        <v/>
      </c>
      <c r="I42" s="92">
        <v>14</v>
      </c>
    </row>
    <row r="43" spans="2:9" ht="25.5" x14ac:dyDescent="0.2">
      <c r="B43" s="17" t="s">
        <v>28</v>
      </c>
      <c r="C43" s="18" t="s">
        <v>11</v>
      </c>
      <c r="D43" s="19" t="s">
        <v>230</v>
      </c>
      <c r="E43" s="49">
        <f>10.5+10</f>
        <v>20.5</v>
      </c>
      <c r="F43" s="102"/>
      <c r="G43" s="20" t="str">
        <f t="shared" si="3"/>
        <v/>
      </c>
      <c r="I43" s="92">
        <v>14</v>
      </c>
    </row>
    <row r="44" spans="2:9" x14ac:dyDescent="0.2">
      <c r="E44" s="23" t="str">
        <f>IF(SUM(E47:E49)=0,0,"")</f>
        <v/>
      </c>
      <c r="F44" s="23"/>
      <c r="G44" s="23"/>
    </row>
    <row r="45" spans="2:9" ht="21.2" customHeight="1" x14ac:dyDescent="0.2">
      <c r="B45" s="114" t="s">
        <v>42</v>
      </c>
      <c r="C45" s="114"/>
      <c r="D45" s="114"/>
      <c r="E45" s="24" t="str">
        <f>IF(SUM(E47:E49)=0,0,"")</f>
        <v/>
      </c>
      <c r="F45" s="24"/>
      <c r="G45" s="24"/>
    </row>
    <row r="46" spans="2:9" x14ac:dyDescent="0.2">
      <c r="E46" s="23" t="str">
        <f>IF(SUM(E47:E49)=0,0,"")</f>
        <v/>
      </c>
      <c r="F46" s="23"/>
      <c r="G46" s="23"/>
    </row>
    <row r="47" spans="2:9" ht="38.25" x14ac:dyDescent="0.2">
      <c r="B47" s="17" t="s">
        <v>29</v>
      </c>
      <c r="C47" s="18" t="s">
        <v>11</v>
      </c>
      <c r="D47" s="19" t="s">
        <v>252</v>
      </c>
      <c r="E47" s="49">
        <v>5.5</v>
      </c>
      <c r="F47" s="102"/>
      <c r="G47" s="20" t="str">
        <f t="shared" ref="G47:G49" si="4">IF(F47="","",E47*F47)</f>
        <v/>
      </c>
      <c r="I47" s="79">
        <v>15.4</v>
      </c>
    </row>
    <row r="48" spans="2:9" ht="38.25" x14ac:dyDescent="0.2">
      <c r="B48" s="17" t="s">
        <v>30</v>
      </c>
      <c r="C48" s="18" t="s">
        <v>11</v>
      </c>
      <c r="D48" s="19" t="s">
        <v>253</v>
      </c>
      <c r="E48" s="49">
        <v>2</v>
      </c>
      <c r="F48" s="102"/>
      <c r="G48" s="20" t="str">
        <f t="shared" si="4"/>
        <v/>
      </c>
      <c r="I48" s="80">
        <v>14</v>
      </c>
    </row>
    <row r="49" spans="2:9" ht="38.25" x14ac:dyDescent="0.2">
      <c r="B49" s="17" t="s">
        <v>31</v>
      </c>
      <c r="C49" s="18" t="s">
        <v>11</v>
      </c>
      <c r="D49" s="19" t="s">
        <v>264</v>
      </c>
      <c r="E49" s="20">
        <v>5</v>
      </c>
      <c r="F49" s="102"/>
      <c r="G49" s="20" t="str">
        <f t="shared" si="4"/>
        <v/>
      </c>
      <c r="I49" s="86">
        <v>0</v>
      </c>
    </row>
    <row r="50" spans="2:9" x14ac:dyDescent="0.2">
      <c r="E50" s="21"/>
      <c r="F50" s="21"/>
      <c r="G50" s="21"/>
    </row>
    <row r="51" spans="2:9" ht="21.2" customHeight="1" x14ac:dyDescent="0.3">
      <c r="B51" s="111" t="s">
        <v>43</v>
      </c>
      <c r="C51" s="112"/>
      <c r="D51" s="112"/>
      <c r="E51" s="15"/>
      <c r="F51" s="15"/>
      <c r="G51" s="16"/>
    </row>
    <row r="52" spans="2:9" ht="20.25" customHeight="1" x14ac:dyDescent="0.25">
      <c r="B52" s="113" t="s">
        <v>44</v>
      </c>
      <c r="C52" s="113"/>
      <c r="D52" s="113"/>
      <c r="E52" s="22" t="str">
        <f>IF(SUM(E54:E54)=0,0,"")</f>
        <v/>
      </c>
      <c r="F52" s="22"/>
      <c r="G52" s="22"/>
    </row>
    <row r="53" spans="2:9" x14ac:dyDescent="0.2">
      <c r="E53" s="14" t="str">
        <f>IF(SUM(E54:E54)=0,0,"")</f>
        <v/>
      </c>
      <c r="F53" s="14"/>
      <c r="G53" s="14"/>
    </row>
    <row r="54" spans="2:9" ht="25.5" x14ac:dyDescent="0.2">
      <c r="B54" s="17" t="s">
        <v>33</v>
      </c>
      <c r="C54" s="18" t="s">
        <v>32</v>
      </c>
      <c r="D54" s="19" t="s">
        <v>221</v>
      </c>
      <c r="E54" s="49">
        <v>45</v>
      </c>
      <c r="F54" s="102"/>
      <c r="G54" s="20" t="str">
        <f t="shared" ref="G54:G55" si="5">IF(F54="","",E54*F54)</f>
        <v/>
      </c>
      <c r="I54" s="82">
        <v>0</v>
      </c>
    </row>
    <row r="55" spans="2:9" ht="25.5" x14ac:dyDescent="0.2">
      <c r="B55" s="17" t="s">
        <v>204</v>
      </c>
      <c r="C55" s="18" t="s">
        <v>4</v>
      </c>
      <c r="D55" s="19" t="s">
        <v>205</v>
      </c>
      <c r="E55" s="49">
        <v>1</v>
      </c>
      <c r="F55" s="102"/>
      <c r="G55" s="20" t="str">
        <f t="shared" si="5"/>
        <v/>
      </c>
      <c r="I55" s="6"/>
    </row>
    <row r="56" spans="2:9" ht="21.2" customHeight="1" x14ac:dyDescent="0.25">
      <c r="B56" s="114" t="s">
        <v>45</v>
      </c>
      <c r="C56" s="114"/>
      <c r="D56" s="114"/>
      <c r="E56" s="52" t="str">
        <f>IF(SUM(E58:E58)=0,0,"")</f>
        <v/>
      </c>
      <c r="F56" s="52"/>
      <c r="G56" s="52"/>
    </row>
    <row r="57" spans="2:9" x14ac:dyDescent="0.2">
      <c r="E57" s="14" t="str">
        <f>IF(SUM(E58:E58)=0,0,"")</f>
        <v/>
      </c>
      <c r="F57" s="14"/>
      <c r="G57" s="14"/>
    </row>
    <row r="58" spans="2:9" ht="25.5" x14ac:dyDescent="0.2">
      <c r="B58" s="17" t="s">
        <v>34</v>
      </c>
      <c r="C58" s="18" t="s">
        <v>4</v>
      </c>
      <c r="D58" s="19" t="s">
        <v>261</v>
      </c>
      <c r="E58" s="20">
        <v>1</v>
      </c>
      <c r="F58" s="102"/>
      <c r="G58" s="20" t="str">
        <f>IF(F58="","",E58*F58)</f>
        <v/>
      </c>
      <c r="I58" s="84">
        <v>0</v>
      </c>
    </row>
    <row r="59" spans="2:9" x14ac:dyDescent="0.2">
      <c r="E59" s="14" t="str">
        <f>IF(SUM(E62:E63)=0,0,"")</f>
        <v/>
      </c>
      <c r="F59" s="14"/>
      <c r="G59" s="14"/>
    </row>
    <row r="60" spans="2:9" ht="21.2" customHeight="1" x14ac:dyDescent="0.25">
      <c r="B60" s="114" t="s">
        <v>46</v>
      </c>
      <c r="C60" s="114"/>
      <c r="D60" s="114"/>
      <c r="E60" s="52" t="str">
        <f>IF(SUM(E62:E63)=0,0,"")</f>
        <v/>
      </c>
      <c r="F60" s="52"/>
      <c r="G60" s="52"/>
    </row>
    <row r="61" spans="2:9" x14ac:dyDescent="0.2">
      <c r="E61" s="14" t="str">
        <f>IF(SUM(E62:E63)=0,0,"")</f>
        <v/>
      </c>
      <c r="F61" s="14"/>
      <c r="G61" s="14"/>
    </row>
    <row r="62" spans="2:9" ht="25.5" x14ac:dyDescent="0.2">
      <c r="B62" s="17" t="s">
        <v>35</v>
      </c>
      <c r="C62" s="18" t="s">
        <v>4</v>
      </c>
      <c r="D62" s="19" t="s">
        <v>263</v>
      </c>
      <c r="E62" s="20">
        <v>1</v>
      </c>
      <c r="F62" s="102"/>
      <c r="G62" s="20" t="str">
        <f>IF(F62="","",E62*F62)</f>
        <v/>
      </c>
      <c r="I62" s="82">
        <v>0</v>
      </c>
    </row>
    <row r="63" spans="2:9" ht="25.5" x14ac:dyDescent="0.2">
      <c r="B63" s="17" t="s">
        <v>36</v>
      </c>
      <c r="C63" s="18" t="s">
        <v>4</v>
      </c>
      <c r="D63" s="19" t="s">
        <v>262</v>
      </c>
      <c r="E63" s="20">
        <v>1</v>
      </c>
      <c r="F63" s="102"/>
      <c r="G63" s="20" t="str">
        <f t="shared" ref="G63" si="6">IF(F63="","",E63*F63)</f>
        <v/>
      </c>
      <c r="I63" s="82">
        <v>0</v>
      </c>
    </row>
    <row r="64" spans="2:9" ht="13.5" thickBot="1" x14ac:dyDescent="0.25"/>
    <row r="65" spans="4:7" ht="16.5" thickBot="1" x14ac:dyDescent="0.25">
      <c r="D65" s="25" t="s">
        <v>60</v>
      </c>
      <c r="E65" s="26"/>
      <c r="F65" s="108" t="str">
        <f>IF(SUM(G8:G63)=0,"",SUM(G8:G63))</f>
        <v/>
      </c>
      <c r="G65" s="109"/>
    </row>
  </sheetData>
  <sheetProtection algorithmName="SHA-512" hashValue="eDv9JQc6KOthT3eXNTTtwmwlMcJmWdcvx4268/YSPDabCOVGXowwSkSCx2tC2GJU2Khg9XJbOPjBckTYeUvGHg==" saltValue="RgH1TYrnbL2zXjHTtpe4bA==" spinCount="100000" sheet="1" selectLockedCells="1"/>
  <dataConsolidate/>
  <mergeCells count="12">
    <mergeCell ref="F65:G65"/>
    <mergeCell ref="B4:G4"/>
    <mergeCell ref="B6:D6"/>
    <mergeCell ref="B15:D15"/>
    <mergeCell ref="B16:D16"/>
    <mergeCell ref="B21:D21"/>
    <mergeCell ref="B29:D29"/>
    <mergeCell ref="B45:D45"/>
    <mergeCell ref="B51:D51"/>
    <mergeCell ref="B52:D52"/>
    <mergeCell ref="B56:D56"/>
    <mergeCell ref="B60:D6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5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rgb="FFFFFF00"/>
  </sheetPr>
  <dimension ref="A1:M45"/>
  <sheetViews>
    <sheetView view="pageBreakPreview" zoomScaleNormal="130" zoomScaleSheetLayoutView="100" zoomScalePageLayoutView="120" workbookViewId="0">
      <pane ySplit="2" topLeftCell="A31" activePane="bottomLeft" state="frozen"/>
      <selection activeCell="H28" sqref="H28"/>
      <selection pane="bottomLeft" activeCell="F43" sqref="F43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hidden="1" customWidth="1"/>
    <col min="9" max="9" width="8.7109375" style="64" hidden="1" customWidth="1"/>
    <col min="10" max="10" width="9.140625" style="6" customWidth="1"/>
    <col min="11" max="11" width="9.140625" style="6"/>
    <col min="12" max="13" width="0" style="6" hidden="1" customWidth="1"/>
    <col min="14" max="16384" width="9.140625" style="6"/>
  </cols>
  <sheetData>
    <row r="1" spans="1:9" x14ac:dyDescent="0.2">
      <c r="A1" s="1"/>
    </row>
    <row r="2" spans="1:9" ht="24.95" customHeight="1" x14ac:dyDescent="0.2">
      <c r="B2" s="42" t="s">
        <v>47</v>
      </c>
      <c r="C2" s="42" t="s">
        <v>52</v>
      </c>
      <c r="D2" s="42" t="s">
        <v>48</v>
      </c>
      <c r="E2" s="43" t="s">
        <v>49</v>
      </c>
      <c r="F2" s="43" t="s">
        <v>50</v>
      </c>
      <c r="G2" s="43" t="s">
        <v>51</v>
      </c>
      <c r="I2" s="65" t="s">
        <v>57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10" t="s">
        <v>61</v>
      </c>
      <c r="C4" s="110"/>
      <c r="D4" s="110"/>
      <c r="E4" s="110"/>
      <c r="F4" s="110"/>
      <c r="G4" s="110"/>
    </row>
    <row r="5" spans="1:9" ht="12.75" customHeight="1" x14ac:dyDescent="0.2">
      <c r="B5" s="13"/>
      <c r="C5" s="13"/>
      <c r="D5" s="13"/>
      <c r="E5" s="14" t="str">
        <f>IF(SUM(E8:E13)=0,0,"")</f>
        <v/>
      </c>
      <c r="F5" s="14"/>
      <c r="G5" s="14"/>
    </row>
    <row r="6" spans="1:9" ht="21.2" customHeight="1" x14ac:dyDescent="0.3">
      <c r="B6" s="111" t="s">
        <v>91</v>
      </c>
      <c r="C6" s="112"/>
      <c r="D6" s="112"/>
      <c r="E6" s="15" t="str">
        <f>IF(SUM(E8:E13)=0,0,"")</f>
        <v/>
      </c>
      <c r="F6" s="15"/>
      <c r="G6" s="16"/>
    </row>
    <row r="7" spans="1:9" x14ac:dyDescent="0.2">
      <c r="E7" s="14" t="str">
        <f>IF(SUM(E8:E13)=0,0,"")</f>
        <v/>
      </c>
      <c r="F7" s="14"/>
      <c r="G7" s="14"/>
    </row>
    <row r="8" spans="1:9" ht="38.25" x14ac:dyDescent="0.2">
      <c r="B8" s="17" t="s">
        <v>62</v>
      </c>
      <c r="C8" s="18" t="s">
        <v>15</v>
      </c>
      <c r="D8" s="19" t="s">
        <v>83</v>
      </c>
      <c r="E8" s="49">
        <f>(15+20.5+20.5+10.5)*0.2*1.2</f>
        <v>15.96</v>
      </c>
      <c r="F8" s="102"/>
      <c r="G8" s="20" t="str">
        <f t="shared" ref="G8:G13" si="0">IF(F8="","",E8*F8)</f>
        <v/>
      </c>
      <c r="I8" s="93">
        <v>5.28</v>
      </c>
    </row>
    <row r="9" spans="1:9" ht="25.5" x14ac:dyDescent="0.2">
      <c r="B9" s="17" t="s">
        <v>64</v>
      </c>
      <c r="C9" s="18" t="s">
        <v>15</v>
      </c>
      <c r="D9" s="19" t="s">
        <v>254</v>
      </c>
      <c r="E9" s="49">
        <f>(407.25*0.7+631.45*0.8)*1.2</f>
        <v>948.28200000000015</v>
      </c>
      <c r="F9" s="102"/>
      <c r="G9" s="20" t="str">
        <f t="shared" si="0"/>
        <v/>
      </c>
      <c r="I9" s="95">
        <v>5.28</v>
      </c>
    </row>
    <row r="10" spans="1:9" ht="51" x14ac:dyDescent="0.2">
      <c r="B10" s="17" t="s">
        <v>65</v>
      </c>
      <c r="C10" s="18" t="s">
        <v>15</v>
      </c>
      <c r="D10" s="19" t="s">
        <v>276</v>
      </c>
      <c r="E10" s="49">
        <f>E11*0.1</f>
        <v>13.269</v>
      </c>
      <c r="F10" s="102"/>
      <c r="G10" s="20" t="str">
        <f t="shared" si="0"/>
        <v/>
      </c>
      <c r="I10" s="94">
        <v>37.18</v>
      </c>
    </row>
    <row r="11" spans="1:9" ht="51" x14ac:dyDescent="0.2">
      <c r="B11" s="17" t="s">
        <v>66</v>
      </c>
      <c r="C11" s="18" t="s">
        <v>15</v>
      </c>
      <c r="D11" s="19" t="s">
        <v>84</v>
      </c>
      <c r="E11" s="49">
        <f>(8*3+40.7*0.5)*0.6+20*1+8*2+1.5*(67+49.8)*0.4</f>
        <v>132.69</v>
      </c>
      <c r="F11" s="102"/>
      <c r="G11" s="20" t="str">
        <f t="shared" si="0"/>
        <v/>
      </c>
      <c r="I11" s="94">
        <v>8.8000000000000007</v>
      </c>
    </row>
    <row r="12" spans="1:9" ht="51" x14ac:dyDescent="0.2">
      <c r="B12" s="17" t="s">
        <v>67</v>
      </c>
      <c r="C12" s="18" t="s">
        <v>15</v>
      </c>
      <c r="D12" s="19" t="s">
        <v>85</v>
      </c>
      <c r="E12" s="49">
        <f>E13*0.1</f>
        <v>21.885999999999999</v>
      </c>
      <c r="F12" s="102"/>
      <c r="G12" s="20" t="str">
        <f t="shared" si="0"/>
        <v/>
      </c>
      <c r="I12" s="96">
        <v>53.9</v>
      </c>
    </row>
    <row r="13" spans="1:9" ht="51" x14ac:dyDescent="0.2">
      <c r="B13" s="17" t="s">
        <v>68</v>
      </c>
      <c r="C13" s="18" t="s">
        <v>15</v>
      </c>
      <c r="D13" s="19" t="s">
        <v>86</v>
      </c>
      <c r="E13" s="49">
        <f>(8*3+40.7*0.5)*0.4+1.5*(67+49.8)*0.6+6*8*2</f>
        <v>218.85999999999999</v>
      </c>
      <c r="F13" s="102"/>
      <c r="G13" s="20" t="str">
        <f t="shared" si="0"/>
        <v/>
      </c>
      <c r="I13" s="96">
        <v>11.33</v>
      </c>
    </row>
    <row r="14" spans="1:9" x14ac:dyDescent="0.2">
      <c r="E14" s="14"/>
      <c r="F14" s="14"/>
      <c r="G14" s="14"/>
    </row>
    <row r="15" spans="1:9" ht="21.2" customHeight="1" x14ac:dyDescent="0.3">
      <c r="B15" s="111" t="s">
        <v>63</v>
      </c>
      <c r="C15" s="112"/>
      <c r="D15" s="112"/>
      <c r="E15" s="15"/>
      <c r="F15" s="15"/>
      <c r="G15" s="16"/>
    </row>
    <row r="16" spans="1:9" x14ac:dyDescent="0.2">
      <c r="E16" s="14"/>
      <c r="F16" s="14"/>
      <c r="G16" s="14"/>
    </row>
    <row r="17" spans="1:13" ht="25.5" x14ac:dyDescent="0.2">
      <c r="B17" s="17" t="s">
        <v>69</v>
      </c>
      <c r="C17" s="18" t="s">
        <v>8</v>
      </c>
      <c r="D17" s="47" t="s">
        <v>87</v>
      </c>
      <c r="E17" s="49">
        <f>1038.7*1.1</f>
        <v>1142.5700000000002</v>
      </c>
      <c r="F17" s="102"/>
      <c r="G17" s="20" t="str">
        <f t="shared" ref="G17" si="1">IF(F17="","",E17*F17)</f>
        <v/>
      </c>
      <c r="I17" s="87">
        <v>2</v>
      </c>
    </row>
    <row r="18" spans="1:13" ht="38.25" x14ac:dyDescent="0.2">
      <c r="B18" s="17" t="s">
        <v>277</v>
      </c>
      <c r="C18" s="18" t="s">
        <v>8</v>
      </c>
      <c r="D18" s="19" t="s">
        <v>278</v>
      </c>
      <c r="E18" s="20">
        <f>(87+49.8)*0.9*1.1</f>
        <v>135.43200000000004</v>
      </c>
      <c r="F18" s="102"/>
      <c r="G18" s="20" t="str">
        <f t="shared" ref="G18" si="2">IF(F18="","",E18*F18)</f>
        <v/>
      </c>
      <c r="I18" s="87"/>
    </row>
    <row r="19" spans="1:13" x14ac:dyDescent="0.2">
      <c r="E19" s="14" t="str">
        <f>IF(SUM(E22:E22)=0,0,"")</f>
        <v/>
      </c>
      <c r="F19" s="14"/>
      <c r="G19" s="14"/>
    </row>
    <row r="20" spans="1:13" ht="21.2" customHeight="1" x14ac:dyDescent="0.3">
      <c r="B20" s="111" t="s">
        <v>92</v>
      </c>
      <c r="C20" s="112"/>
      <c r="D20" s="112"/>
      <c r="E20" s="15" t="str">
        <f>IF(SUM(E22:E22)=0,0,"")</f>
        <v/>
      </c>
      <c r="F20" s="15"/>
      <c r="G20" s="16"/>
    </row>
    <row r="21" spans="1:13" x14ac:dyDescent="0.2">
      <c r="E21" s="14" t="str">
        <f>IF(SUM(E22:E22)=0,0,"")</f>
        <v/>
      </c>
      <c r="F21" s="14"/>
      <c r="G21" s="14"/>
    </row>
    <row r="22" spans="1:13" s="56" customFormat="1" ht="38.25" x14ac:dyDescent="0.2">
      <c r="A22" s="53"/>
      <c r="B22" s="54" t="s">
        <v>70</v>
      </c>
      <c r="C22" s="55" t="s">
        <v>8</v>
      </c>
      <c r="D22" s="47" t="s">
        <v>88</v>
      </c>
      <c r="E22" s="49">
        <f>E17*1.3+(87+49.8)*3*1.2</f>
        <v>1977.8210000000004</v>
      </c>
      <c r="F22" s="103"/>
      <c r="G22" s="49" t="str">
        <f t="shared" ref="G22" si="3">IF(F22="","",E22*F22)</f>
        <v/>
      </c>
      <c r="I22" s="101">
        <v>0</v>
      </c>
    </row>
    <row r="23" spans="1:13" x14ac:dyDescent="0.2">
      <c r="E23" s="48"/>
      <c r="F23" s="14"/>
      <c r="G23" s="14"/>
    </row>
    <row r="24" spans="1:13" ht="21.2" customHeight="1" x14ac:dyDescent="0.3">
      <c r="B24" s="111" t="s">
        <v>93</v>
      </c>
      <c r="C24" s="112"/>
      <c r="D24" s="112"/>
      <c r="E24" s="15" t="str">
        <f>IF(SUM(E26:E28)=0,0,"")</f>
        <v/>
      </c>
      <c r="F24" s="15"/>
      <c r="G24" s="16"/>
    </row>
    <row r="25" spans="1:13" x14ac:dyDescent="0.2">
      <c r="E25" s="14" t="str">
        <f>IF(SUM(E26:E28)=0,0,"")</f>
        <v/>
      </c>
      <c r="F25" s="14"/>
      <c r="G25" s="14"/>
    </row>
    <row r="26" spans="1:13" ht="89.25" x14ac:dyDescent="0.2">
      <c r="B26" s="17" t="s">
        <v>71</v>
      </c>
      <c r="C26" s="18" t="s">
        <v>15</v>
      </c>
      <c r="D26" s="19" t="s">
        <v>302</v>
      </c>
      <c r="E26" s="49">
        <f>(E11+E13+E10+E12)*0.7</f>
        <v>270.69349999999997</v>
      </c>
      <c r="F26" s="102"/>
      <c r="G26" s="20" t="str">
        <f t="shared" ref="G26" si="4">IF(F26="","",E26*F26)</f>
        <v/>
      </c>
      <c r="I26" s="97">
        <v>18</v>
      </c>
    </row>
    <row r="27" spans="1:13" ht="38.25" x14ac:dyDescent="0.2">
      <c r="B27" s="17" t="s">
        <v>72</v>
      </c>
      <c r="C27" s="18" t="s">
        <v>15</v>
      </c>
      <c r="D27" s="19" t="s">
        <v>89</v>
      </c>
      <c r="E27" s="49">
        <f>1038.7*0.4*1.25</f>
        <v>519.35</v>
      </c>
      <c r="F27" s="102"/>
      <c r="G27" s="20" t="str">
        <f t="shared" ref="G27" si="5">IF(F27="","",E27*F27)</f>
        <v/>
      </c>
      <c r="I27" s="82">
        <v>0</v>
      </c>
    </row>
    <row r="28" spans="1:13" ht="38.25" x14ac:dyDescent="0.2">
      <c r="B28" s="17" t="s">
        <v>73</v>
      </c>
      <c r="C28" s="18" t="s">
        <v>8</v>
      </c>
      <c r="D28" s="19" t="s">
        <v>90</v>
      </c>
      <c r="E28" s="20">
        <f>1038.7*1.15</f>
        <v>1194.5049999999999</v>
      </c>
      <c r="F28" s="102"/>
      <c r="G28" s="20" t="str">
        <f t="shared" ref="G28:G30" si="6">IF(F28="","",E28*F28)</f>
        <v/>
      </c>
      <c r="I28" s="82">
        <v>0</v>
      </c>
    </row>
    <row r="29" spans="1:13" ht="63.75" x14ac:dyDescent="0.2">
      <c r="B29" s="17" t="s">
        <v>299</v>
      </c>
      <c r="C29" s="18" t="s">
        <v>15</v>
      </c>
      <c r="D29" s="19" t="s">
        <v>300</v>
      </c>
      <c r="E29" s="49">
        <f>0.56*(87+49.8)*1.1</f>
        <v>84.268800000000027</v>
      </c>
      <c r="F29" s="102"/>
      <c r="G29" s="20" t="str">
        <f t="shared" si="6"/>
        <v/>
      </c>
      <c r="I29" s="82"/>
    </row>
    <row r="30" spans="1:13" ht="204" x14ac:dyDescent="0.2">
      <c r="B30" s="17" t="s">
        <v>301</v>
      </c>
      <c r="C30" s="18" t="s">
        <v>15</v>
      </c>
      <c r="D30" s="19" t="s">
        <v>349</v>
      </c>
      <c r="E30" s="49">
        <v>200.92</v>
      </c>
      <c r="F30" s="102"/>
      <c r="G30" s="20" t="str">
        <f t="shared" si="6"/>
        <v/>
      </c>
      <c r="I30" s="82"/>
      <c r="L30" s="6">
        <f>0.07*(87+49.8)+0.02*36.7+0.39*8+0.79*5</f>
        <v>17.380000000000003</v>
      </c>
      <c r="M30" s="6">
        <f>1350.95-270.69-15.1-519.35-324.59-20.3</f>
        <v>200.92000000000007</v>
      </c>
    </row>
    <row r="31" spans="1:13" x14ac:dyDescent="0.2">
      <c r="E31" s="14" t="str">
        <f>IF(SUM(E34:E35)=0,0,"")</f>
        <v/>
      </c>
      <c r="F31" s="14"/>
      <c r="G31" s="14"/>
    </row>
    <row r="32" spans="1:13" ht="21.2" customHeight="1" x14ac:dyDescent="0.3">
      <c r="B32" s="111" t="s">
        <v>94</v>
      </c>
      <c r="C32" s="112"/>
      <c r="D32" s="112"/>
      <c r="E32" s="15" t="str">
        <f>IF(SUM(E34:E35)=0,0,"")</f>
        <v/>
      </c>
      <c r="F32" s="15"/>
      <c r="G32" s="16"/>
    </row>
    <row r="33" spans="2:9" x14ac:dyDescent="0.2">
      <c r="E33" s="14" t="str">
        <f>IF(SUM(E34:E35)=0,0,"")</f>
        <v/>
      </c>
      <c r="F33" s="14"/>
      <c r="G33" s="14"/>
    </row>
    <row r="34" spans="2:9" ht="38.25" x14ac:dyDescent="0.2">
      <c r="B34" s="17" t="s">
        <v>74</v>
      </c>
      <c r="C34" s="18" t="s">
        <v>8</v>
      </c>
      <c r="D34" s="19" t="s">
        <v>255</v>
      </c>
      <c r="E34" s="49">
        <v>115</v>
      </c>
      <c r="F34" s="102"/>
      <c r="G34" s="20" t="str">
        <f t="shared" ref="G34:G35" si="7">IF(F34="","",E34*F34)</f>
        <v/>
      </c>
      <c r="I34" s="88">
        <v>0</v>
      </c>
    </row>
    <row r="35" spans="2:9" ht="25.5" x14ac:dyDescent="0.2">
      <c r="B35" s="17" t="s">
        <v>75</v>
      </c>
      <c r="C35" s="18" t="s">
        <v>8</v>
      </c>
      <c r="D35" s="19" t="s">
        <v>218</v>
      </c>
      <c r="E35" s="49">
        <f>E34</f>
        <v>115</v>
      </c>
      <c r="F35" s="102"/>
      <c r="G35" s="20" t="str">
        <f t="shared" si="7"/>
        <v/>
      </c>
      <c r="I35" s="88">
        <v>0</v>
      </c>
    </row>
    <row r="36" spans="2:9" x14ac:dyDescent="0.2">
      <c r="E36" s="14"/>
      <c r="F36" s="14"/>
      <c r="G36" s="14"/>
    </row>
    <row r="37" spans="2:9" ht="21.2" customHeight="1" x14ac:dyDescent="0.3">
      <c r="B37" s="111" t="s">
        <v>95</v>
      </c>
      <c r="C37" s="112"/>
      <c r="D37" s="112"/>
      <c r="E37" s="15"/>
      <c r="F37" s="15"/>
      <c r="G37" s="16"/>
    </row>
    <row r="38" spans="2:9" x14ac:dyDescent="0.2">
      <c r="E38" s="14"/>
      <c r="F38" s="14"/>
      <c r="G38" s="14"/>
    </row>
    <row r="39" spans="2:9" ht="25.5" x14ac:dyDescent="0.2">
      <c r="B39" s="17" t="s">
        <v>77</v>
      </c>
      <c r="C39" s="18" t="s">
        <v>76</v>
      </c>
      <c r="D39" s="19" t="s">
        <v>219</v>
      </c>
      <c r="E39" s="49">
        <f>E41+E42+E43+E40</f>
        <v>3196.5002049999998</v>
      </c>
      <c r="F39" s="102"/>
      <c r="G39" s="20" t="str">
        <f t="shared" ref="G39:G43" si="8">IF(F39="","",E39*F39)</f>
        <v/>
      </c>
      <c r="I39" s="86">
        <v>0</v>
      </c>
    </row>
    <row r="40" spans="2:9" ht="51" x14ac:dyDescent="0.2">
      <c r="B40" s="17" t="s">
        <v>78</v>
      </c>
      <c r="C40" s="18" t="s">
        <v>76</v>
      </c>
      <c r="D40" s="47" t="s">
        <v>245</v>
      </c>
      <c r="E40" s="49">
        <f>(('1. PREDDELA'!E35)*0.07+('1. PREDDELA'!E36)*0.1+('1. PREDDELA'!E34)*0.03)*2.3</f>
        <v>5.3267999999999995</v>
      </c>
      <c r="F40" s="102"/>
      <c r="G40" s="20" t="str">
        <f t="shared" si="8"/>
        <v/>
      </c>
      <c r="I40" s="87">
        <v>0</v>
      </c>
    </row>
    <row r="41" spans="2:9" ht="38.25" x14ac:dyDescent="0.2">
      <c r="B41" s="17" t="s">
        <v>79</v>
      </c>
      <c r="C41" s="18" t="s">
        <v>76</v>
      </c>
      <c r="D41" s="19" t="s">
        <v>210</v>
      </c>
      <c r="E41" s="49">
        <f>(E8)*1.8+(E9+E10+E11+E12+E13)*2.1</f>
        <v>2832.2007000000003</v>
      </c>
      <c r="F41" s="102"/>
      <c r="G41" s="20" t="str">
        <f t="shared" si="8"/>
        <v/>
      </c>
      <c r="I41" s="87">
        <v>0</v>
      </c>
    </row>
    <row r="42" spans="2:9" ht="38.25" x14ac:dyDescent="0.2">
      <c r="B42" s="17" t="s">
        <v>80</v>
      </c>
      <c r="C42" s="18" t="s">
        <v>76</v>
      </c>
      <c r="D42" s="19" t="s">
        <v>211</v>
      </c>
      <c r="E42" s="49">
        <f>(('1. PREDDELA'!E32)*0.1+('1. PREDDELA'!E31)*0.05+('1. PREDDELA'!E33)*0.12)*2.3</f>
        <v>339.08520500000003</v>
      </c>
      <c r="F42" s="102"/>
      <c r="G42" s="20" t="str">
        <f t="shared" si="8"/>
        <v/>
      </c>
      <c r="I42" s="87">
        <v>0</v>
      </c>
    </row>
    <row r="43" spans="2:9" ht="38.25" x14ac:dyDescent="0.2">
      <c r="B43" s="17" t="s">
        <v>81</v>
      </c>
      <c r="C43" s="18" t="s">
        <v>76</v>
      </c>
      <c r="D43" s="19" t="s">
        <v>274</v>
      </c>
      <c r="E43" s="49">
        <f>(('1. PREDDELA'!E40*80/1000)+('1. PREDDELA'!E41*120/1000)+('1. PREDDELA'!E48*120/1000)+(('1. PREDDELA'!E47)*170/1000)+((('1. PREDDELA'!E42*50/1000)+('1. PREDDELA'!E43*60/1000))*2.5))</f>
        <v>19.887500000000003</v>
      </c>
      <c r="F43" s="102"/>
      <c r="G43" s="20" t="str">
        <f t="shared" si="8"/>
        <v/>
      </c>
      <c r="I43" s="87">
        <v>0</v>
      </c>
    </row>
    <row r="44" spans="2:9" ht="13.5" thickBot="1" x14ac:dyDescent="0.25">
      <c r="B44" s="50"/>
      <c r="I44" s="6"/>
    </row>
    <row r="45" spans="2:9" ht="16.5" thickBot="1" x14ac:dyDescent="0.25">
      <c r="D45" s="25" t="s">
        <v>82</v>
      </c>
      <c r="E45" s="26"/>
      <c r="F45" s="108" t="str">
        <f>IF(SUM(G8:G43)=0,"",SUM(G8:G43))</f>
        <v/>
      </c>
      <c r="G45" s="109"/>
    </row>
  </sheetData>
  <sheetProtection algorithmName="SHA-512" hashValue="wijnlR46WxKO76GrOsrRuozuw1Mxv9j0NlEtmgQrLdTy+dMzH8u6G5jdT70Y/2p6vVgwg8VrmgRngNDA7OjawQ==" saltValue="t0mRkhb5EgvfGrFVnGmpMA==" spinCount="100000" sheet="1" selectLockedCells="1"/>
  <dataConsolidate/>
  <mergeCells count="8">
    <mergeCell ref="B4:G4"/>
    <mergeCell ref="B6:D6"/>
    <mergeCell ref="B15:D15"/>
    <mergeCell ref="B20:D20"/>
    <mergeCell ref="F45:G45"/>
    <mergeCell ref="B24:D24"/>
    <mergeCell ref="B32:D32"/>
    <mergeCell ref="B37:D3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rgb="FF92D050"/>
  </sheetPr>
  <dimension ref="A1:I45"/>
  <sheetViews>
    <sheetView view="pageBreakPreview" zoomScaleNormal="115" zoomScaleSheetLayoutView="100" zoomScalePageLayoutView="120" workbookViewId="0">
      <pane ySplit="2" topLeftCell="A10" activePane="bottomLeft" state="frozen"/>
      <selection activeCell="H28" sqref="H28"/>
      <selection pane="bottomLeft" activeCell="F25" sqref="F2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6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47</v>
      </c>
      <c r="C2" s="42" t="s">
        <v>52</v>
      </c>
      <c r="D2" s="42" t="s">
        <v>48</v>
      </c>
      <c r="E2" s="43" t="s">
        <v>49</v>
      </c>
      <c r="F2" s="43" t="s">
        <v>50</v>
      </c>
      <c r="G2" s="43" t="s">
        <v>51</v>
      </c>
      <c r="I2" s="65" t="s">
        <v>57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10" t="s">
        <v>96</v>
      </c>
      <c r="C4" s="110"/>
      <c r="D4" s="110"/>
      <c r="E4" s="110"/>
      <c r="F4" s="110"/>
      <c r="G4" s="110"/>
    </row>
    <row r="5" spans="1:9" ht="12.75" customHeight="1" x14ac:dyDescent="0.2">
      <c r="B5" s="13"/>
      <c r="C5" s="13"/>
      <c r="D5" s="13"/>
      <c r="E5" s="51"/>
      <c r="F5" s="51"/>
      <c r="G5" s="51"/>
    </row>
    <row r="6" spans="1:9" ht="21.2" customHeight="1" x14ac:dyDescent="0.3">
      <c r="B6" s="111" t="s">
        <v>132</v>
      </c>
      <c r="C6" s="112"/>
      <c r="D6" s="112"/>
      <c r="E6" s="15"/>
      <c r="F6" s="15"/>
      <c r="G6" s="16"/>
    </row>
    <row r="7" spans="1:9" ht="21.2" customHeight="1" x14ac:dyDescent="0.25">
      <c r="B7" s="113" t="s">
        <v>97</v>
      </c>
      <c r="C7" s="113"/>
      <c r="D7" s="113"/>
      <c r="E7" s="22" t="str">
        <f>IF(SUM(E9:E10)=0,0,"")</f>
        <v/>
      </c>
      <c r="F7" s="22"/>
      <c r="G7" s="22"/>
    </row>
    <row r="8" spans="1:9" ht="13.5" x14ac:dyDescent="0.25">
      <c r="E8" s="52" t="str">
        <f>IF(SUM(E9:E10)=0,0,"")</f>
        <v/>
      </c>
      <c r="F8" s="52"/>
      <c r="G8" s="52"/>
    </row>
    <row r="9" spans="1:9" s="56" customFormat="1" ht="51" x14ac:dyDescent="0.2">
      <c r="A9" s="53"/>
      <c r="B9" s="54" t="s">
        <v>172</v>
      </c>
      <c r="C9" s="55" t="s">
        <v>15</v>
      </c>
      <c r="D9" s="47" t="s">
        <v>279</v>
      </c>
      <c r="E9" s="49">
        <f>1038.7*0.25*1.25</f>
        <v>324.59375</v>
      </c>
      <c r="F9" s="103"/>
      <c r="G9" s="49" t="str">
        <f t="shared" ref="G9:G10" si="0">IF(F9="","",E9*F9)</f>
        <v/>
      </c>
      <c r="I9" s="79">
        <v>22</v>
      </c>
    </row>
    <row r="10" spans="1:9" ht="38.25" x14ac:dyDescent="0.2">
      <c r="B10" s="17" t="s">
        <v>173</v>
      </c>
      <c r="C10" s="18" t="s">
        <v>15</v>
      </c>
      <c r="D10" s="19" t="s">
        <v>199</v>
      </c>
      <c r="E10" s="49">
        <f>(E14+E20)*0.05</f>
        <v>97.00200000000001</v>
      </c>
      <c r="F10" s="102"/>
      <c r="G10" s="20" t="str">
        <f t="shared" si="0"/>
        <v/>
      </c>
      <c r="I10" s="83">
        <v>5</v>
      </c>
    </row>
    <row r="11" spans="1:9" x14ac:dyDescent="0.2">
      <c r="E11" s="14"/>
      <c r="F11" s="14"/>
      <c r="G11" s="14"/>
    </row>
    <row r="12" spans="1:9" ht="21.75" customHeight="1" x14ac:dyDescent="0.25">
      <c r="B12" s="114" t="s">
        <v>174</v>
      </c>
      <c r="C12" s="114"/>
      <c r="D12" s="114"/>
      <c r="E12" s="52" t="str">
        <f>IF(SUM(E14:E14)=0,0,"")</f>
        <v/>
      </c>
      <c r="F12" s="52"/>
      <c r="G12" s="52"/>
    </row>
    <row r="13" spans="1:9" x14ac:dyDescent="0.2">
      <c r="E13" s="14" t="str">
        <f>IF(SUM(E14:E14)=0,0,"")</f>
        <v/>
      </c>
      <c r="F13" s="14"/>
      <c r="G13" s="14"/>
    </row>
    <row r="14" spans="1:9" ht="89.25" x14ac:dyDescent="0.2">
      <c r="B14" s="17" t="s">
        <v>175</v>
      </c>
      <c r="C14" s="18" t="s">
        <v>8</v>
      </c>
      <c r="D14" s="19" t="s">
        <v>307</v>
      </c>
      <c r="E14" s="49">
        <f>(631.8+40.7+14.7+40+84+7.5)*1.2</f>
        <v>982.44</v>
      </c>
      <c r="F14" s="102"/>
      <c r="G14" s="20" t="str">
        <f t="shared" ref="G14" si="1">IF(F14="","",E14*F14)</f>
        <v/>
      </c>
      <c r="I14" s="85">
        <v>0</v>
      </c>
    </row>
    <row r="15" spans="1:9" x14ac:dyDescent="0.2">
      <c r="E15" s="14"/>
      <c r="F15" s="14"/>
      <c r="G15" s="14"/>
    </row>
    <row r="16" spans="1:9" ht="21.2" customHeight="1" x14ac:dyDescent="0.3">
      <c r="B16" s="111" t="s">
        <v>176</v>
      </c>
      <c r="C16" s="112"/>
      <c r="D16" s="112"/>
      <c r="E16" s="15"/>
      <c r="F16" s="15"/>
      <c r="G16" s="16"/>
    </row>
    <row r="17" spans="2:9" x14ac:dyDescent="0.2">
      <c r="E17" s="14" t="str">
        <f>IF(SUM(E20:E21)=0,0,"")</f>
        <v/>
      </c>
      <c r="F17" s="14"/>
      <c r="G17" s="14"/>
    </row>
    <row r="18" spans="2:9" ht="27" customHeight="1" x14ac:dyDescent="0.25">
      <c r="B18" s="114" t="s">
        <v>177</v>
      </c>
      <c r="C18" s="114"/>
      <c r="D18" s="114"/>
      <c r="E18" s="52" t="str">
        <f>IF(SUM(E20:E21)=0,0,"")</f>
        <v/>
      </c>
      <c r="F18" s="52"/>
      <c r="G18" s="52"/>
    </row>
    <row r="19" spans="2:9" x14ac:dyDescent="0.2">
      <c r="E19" s="14" t="str">
        <f>IF(SUM(E20:E21)=0,0,"")</f>
        <v/>
      </c>
      <c r="F19" s="14"/>
      <c r="G19" s="14"/>
    </row>
    <row r="20" spans="2:9" ht="76.5" x14ac:dyDescent="0.2">
      <c r="B20" s="17" t="s">
        <v>178</v>
      </c>
      <c r="C20" s="18" t="s">
        <v>8</v>
      </c>
      <c r="D20" s="19" t="s">
        <v>308</v>
      </c>
      <c r="E20" s="49">
        <f>(769.3+28.7)*1.2</f>
        <v>957.59999999999991</v>
      </c>
      <c r="F20" s="102"/>
      <c r="G20" s="20" t="str">
        <f t="shared" ref="G20:G21" si="2">IF(F20="","",E20*F20)</f>
        <v/>
      </c>
      <c r="I20" s="81">
        <v>10</v>
      </c>
    </row>
    <row r="21" spans="2:9" ht="89.25" x14ac:dyDescent="0.2">
      <c r="B21" s="17" t="s">
        <v>179</v>
      </c>
      <c r="C21" s="18" t="s">
        <v>8</v>
      </c>
      <c r="D21" s="19" t="s">
        <v>309</v>
      </c>
      <c r="E21" s="49">
        <f>E14</f>
        <v>982.44</v>
      </c>
      <c r="F21" s="102"/>
      <c r="G21" s="20" t="str">
        <f t="shared" si="2"/>
        <v/>
      </c>
      <c r="I21" s="84">
        <v>0</v>
      </c>
    </row>
    <row r="22" spans="2:9" x14ac:dyDescent="0.2">
      <c r="E22" s="14" t="str">
        <f>IF(SUM(E25:E27)=0,0,"")</f>
        <v/>
      </c>
      <c r="F22" s="14"/>
      <c r="G22" s="14"/>
    </row>
    <row r="23" spans="2:9" ht="27" customHeight="1" x14ac:dyDescent="0.25">
      <c r="B23" s="114" t="s">
        <v>180</v>
      </c>
      <c r="C23" s="114"/>
      <c r="D23" s="114"/>
      <c r="E23" s="52" t="str">
        <f>IF(SUM(E25:E27)=0,0,"")</f>
        <v/>
      </c>
      <c r="F23" s="52"/>
      <c r="G23" s="52"/>
    </row>
    <row r="24" spans="2:9" x14ac:dyDescent="0.2">
      <c r="E24" s="14" t="str">
        <f>IF(SUM(E25:E27)=0,0,"")</f>
        <v/>
      </c>
      <c r="F24" s="14"/>
      <c r="G24" s="14"/>
    </row>
    <row r="25" spans="2:9" ht="38.25" x14ac:dyDescent="0.2">
      <c r="B25" s="17" t="s">
        <v>181</v>
      </c>
      <c r="C25" s="18" t="s">
        <v>8</v>
      </c>
      <c r="D25" s="19" t="s">
        <v>215</v>
      </c>
      <c r="E25" s="49">
        <f>E14</f>
        <v>982.44</v>
      </c>
      <c r="F25" s="102"/>
      <c r="G25" s="20" t="str">
        <f t="shared" ref="G25:G27" si="3">IF(F25="","",E25*F25)</f>
        <v/>
      </c>
      <c r="I25" s="87">
        <v>0</v>
      </c>
    </row>
    <row r="26" spans="2:9" ht="25.5" x14ac:dyDescent="0.2">
      <c r="B26" s="17" t="s">
        <v>182</v>
      </c>
      <c r="C26" s="18" t="s">
        <v>8</v>
      </c>
      <c r="D26" s="19" t="s">
        <v>200</v>
      </c>
      <c r="E26" s="49">
        <f>E25</f>
        <v>982.44</v>
      </c>
      <c r="F26" s="102"/>
      <c r="G26" s="20" t="str">
        <f t="shared" si="3"/>
        <v/>
      </c>
      <c r="I26" s="87">
        <v>0</v>
      </c>
    </row>
    <row r="27" spans="2:9" ht="25.5" x14ac:dyDescent="0.2">
      <c r="B27" s="17" t="s">
        <v>183</v>
      </c>
      <c r="C27" s="18" t="s">
        <v>11</v>
      </c>
      <c r="D27" s="19" t="s">
        <v>220</v>
      </c>
      <c r="E27" s="49">
        <f>'1. PREDDELA'!E37+'1. PREDDELA'!E38+'1. PREDDELA'!E39</f>
        <v>67.8</v>
      </c>
      <c r="F27" s="102"/>
      <c r="G27" s="20" t="str">
        <f t="shared" si="3"/>
        <v/>
      </c>
      <c r="I27" s="87">
        <v>0</v>
      </c>
    </row>
    <row r="28" spans="2:9" x14ac:dyDescent="0.2">
      <c r="E28" s="14" t="str">
        <f>IF(SUM(E31:E31)=0,0,"")</f>
        <v/>
      </c>
      <c r="F28" s="14"/>
      <c r="G28" s="14"/>
    </row>
    <row r="29" spans="2:9" ht="21.2" customHeight="1" x14ac:dyDescent="0.3">
      <c r="B29" s="111" t="s">
        <v>184</v>
      </c>
      <c r="C29" s="112"/>
      <c r="D29" s="112"/>
      <c r="E29" s="15" t="str">
        <f>IF(SUM(E31:E31)=0,0,"")</f>
        <v/>
      </c>
      <c r="F29" s="15"/>
      <c r="G29" s="16"/>
    </row>
    <row r="30" spans="2:9" x14ac:dyDescent="0.2">
      <c r="E30" s="14" t="str">
        <f>IF(SUM(E31:E31)=0,0,"")</f>
        <v/>
      </c>
      <c r="F30" s="14"/>
      <c r="G30" s="14"/>
    </row>
    <row r="31" spans="2:9" ht="38.25" x14ac:dyDescent="0.2">
      <c r="B31" s="17" t="s">
        <v>243</v>
      </c>
      <c r="C31" s="18" t="s">
        <v>4</v>
      </c>
      <c r="D31" s="19" t="s">
        <v>310</v>
      </c>
      <c r="E31" s="49">
        <v>122</v>
      </c>
      <c r="F31" s="102"/>
      <c r="G31" s="20" t="str">
        <f t="shared" ref="G31" si="4">IF(F31="","",E31*F31)</f>
        <v/>
      </c>
      <c r="I31" s="82">
        <v>0</v>
      </c>
    </row>
    <row r="32" spans="2:9" ht="13.5" x14ac:dyDescent="0.25">
      <c r="B32" s="50"/>
      <c r="E32" s="52"/>
      <c r="G32" s="52"/>
      <c r="I32" s="6"/>
    </row>
    <row r="33" spans="2:9" ht="21.2" customHeight="1" x14ac:dyDescent="0.3">
      <c r="B33" s="111" t="s">
        <v>185</v>
      </c>
      <c r="C33" s="112"/>
      <c r="D33" s="112"/>
      <c r="E33" s="15"/>
      <c r="F33" s="15"/>
      <c r="G33" s="16"/>
    </row>
    <row r="34" spans="2:9" x14ac:dyDescent="0.2">
      <c r="E34" s="14" t="str">
        <f>IF(SUM(E37:E39)=0,0,"")</f>
        <v/>
      </c>
      <c r="F34" s="14"/>
      <c r="G34" s="14"/>
    </row>
    <row r="35" spans="2:9" ht="21.2" customHeight="1" x14ac:dyDescent="0.25">
      <c r="B35" s="114" t="s">
        <v>186</v>
      </c>
      <c r="C35" s="114"/>
      <c r="D35" s="114"/>
      <c r="E35" s="52" t="str">
        <f>IF(SUM(E37:E39)=0,0,"")</f>
        <v/>
      </c>
      <c r="F35" s="52"/>
      <c r="G35" s="52"/>
    </row>
    <row r="36" spans="2:9" x14ac:dyDescent="0.2">
      <c r="E36" s="14" t="str">
        <f>IF(SUM(E37:E39)=0,0,"")</f>
        <v/>
      </c>
      <c r="F36" s="14"/>
      <c r="G36" s="14"/>
    </row>
    <row r="37" spans="2:9" ht="38.25" x14ac:dyDescent="0.2">
      <c r="B37" s="17" t="s">
        <v>187</v>
      </c>
      <c r="C37" s="18" t="s">
        <v>11</v>
      </c>
      <c r="D37" s="19" t="s">
        <v>281</v>
      </c>
      <c r="E37" s="49">
        <v>203</v>
      </c>
      <c r="F37" s="102"/>
      <c r="G37" s="20" t="str">
        <f>IF(F37="","",E37*F37)</f>
        <v/>
      </c>
      <c r="I37" s="86">
        <v>16</v>
      </c>
    </row>
    <row r="38" spans="2:9" ht="38.25" x14ac:dyDescent="0.2">
      <c r="B38" s="17" t="s">
        <v>188</v>
      </c>
      <c r="C38" s="18" t="s">
        <v>11</v>
      </c>
      <c r="D38" s="19" t="s">
        <v>201</v>
      </c>
      <c r="E38" s="49">
        <f>225-E39</f>
        <v>194</v>
      </c>
      <c r="F38" s="102"/>
      <c r="G38" s="20" t="str">
        <f t="shared" ref="G38:G39" si="5">IF(F38="","",E38*F38)</f>
        <v/>
      </c>
      <c r="I38" s="80">
        <v>20</v>
      </c>
    </row>
    <row r="39" spans="2:9" ht="38.25" x14ac:dyDescent="0.2">
      <c r="B39" s="17" t="s">
        <v>189</v>
      </c>
      <c r="C39" s="18" t="s">
        <v>11</v>
      </c>
      <c r="D39" s="19" t="s">
        <v>202</v>
      </c>
      <c r="E39" s="49">
        <v>31</v>
      </c>
      <c r="F39" s="102"/>
      <c r="G39" s="20" t="str">
        <f t="shared" si="5"/>
        <v/>
      </c>
      <c r="I39" s="87">
        <v>0</v>
      </c>
    </row>
    <row r="40" spans="2:9" x14ac:dyDescent="0.2">
      <c r="E40" s="14" t="str">
        <f>IF(SUM(E43:E43)=0,0,"")</f>
        <v/>
      </c>
      <c r="F40" s="14"/>
      <c r="G40" s="14"/>
    </row>
    <row r="41" spans="2:9" ht="21.2" customHeight="1" x14ac:dyDescent="0.3">
      <c r="B41" s="111" t="s">
        <v>190</v>
      </c>
      <c r="C41" s="112"/>
      <c r="D41" s="112"/>
      <c r="E41" s="15" t="str">
        <f>IF(SUM(E43:E43)=0,0,"")</f>
        <v/>
      </c>
      <c r="F41" s="15"/>
      <c r="G41" s="16"/>
    </row>
    <row r="42" spans="2:9" x14ac:dyDescent="0.2">
      <c r="E42" s="14" t="str">
        <f>IF(SUM(E43:E43)=0,0,"")</f>
        <v/>
      </c>
      <c r="F42" s="14"/>
      <c r="G42" s="14"/>
    </row>
    <row r="43" spans="2:9" ht="38.25" x14ac:dyDescent="0.2">
      <c r="B43" s="17" t="s">
        <v>191</v>
      </c>
      <c r="C43" s="18" t="s">
        <v>15</v>
      </c>
      <c r="D43" s="19" t="s">
        <v>203</v>
      </c>
      <c r="E43" s="49">
        <f>40*0.5*0.1</f>
        <v>2</v>
      </c>
      <c r="F43" s="102"/>
      <c r="G43" s="20" t="str">
        <f>IF(F43="","",E43*F43)</f>
        <v/>
      </c>
      <c r="I43" s="90">
        <v>0</v>
      </c>
    </row>
    <row r="44" spans="2:9" ht="13.5" thickBot="1" x14ac:dyDescent="0.25"/>
    <row r="45" spans="2:9" ht="16.5" thickBot="1" x14ac:dyDescent="0.25">
      <c r="D45" s="25" t="s">
        <v>131</v>
      </c>
      <c r="E45" s="26"/>
      <c r="F45" s="108" t="str">
        <f>IF(SUM(G9:G43)=0,"",SUM(G9:G43))</f>
        <v/>
      </c>
      <c r="G45" s="109"/>
    </row>
  </sheetData>
  <sheetProtection algorithmName="SHA-512" hashValue="nJS3uUqdkxRXh5xLLsUxD7f38oUgioUx2+U6sHTaALmQFDbcZw43+s1LTZb+M4D/gwTFD++cAjTbeO3mslbeag==" saltValue="lYB3J7hszgKXQfVl2gacFw==" spinCount="100000" sheet="1" selectLockedCells="1"/>
  <dataConsolidate/>
  <mergeCells count="12">
    <mergeCell ref="B35:D35"/>
    <mergeCell ref="F45:G45"/>
    <mergeCell ref="B23:D23"/>
    <mergeCell ref="B29:D29"/>
    <mergeCell ref="B33:D33"/>
    <mergeCell ref="B41:D41"/>
    <mergeCell ref="B18:D18"/>
    <mergeCell ref="B4:G4"/>
    <mergeCell ref="B6:D6"/>
    <mergeCell ref="B7:D7"/>
    <mergeCell ref="B16:D16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rgb="FF00B050"/>
  </sheetPr>
  <dimension ref="A1:K43"/>
  <sheetViews>
    <sheetView view="pageBreakPreview" zoomScaleNormal="145" zoomScaleSheetLayoutView="100" zoomScalePageLayoutView="120" workbookViewId="0">
      <pane ySplit="2" topLeftCell="A35" activePane="bottomLeft" state="frozen"/>
      <selection activeCell="H28" sqref="H28"/>
      <selection pane="bottomLeft" activeCell="F41" sqref="F41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4.7109375" style="4" customWidth="1"/>
    <col min="5" max="5" width="9.140625" style="5"/>
    <col min="6" max="6" width="9.140625" style="5" customWidth="1"/>
    <col min="7" max="7" width="9.7109375" style="5" customWidth="1"/>
    <col min="8" max="8" width="3.5703125" style="6" customWidth="1"/>
    <col min="9" max="9" width="8.42578125" style="68" hidden="1" customWidth="1"/>
    <col min="10" max="10" width="9.140625" style="6" customWidth="1"/>
    <col min="11" max="11" width="0" style="6" hidden="1" customWidth="1"/>
    <col min="12" max="16384" width="9.140625" style="6"/>
  </cols>
  <sheetData>
    <row r="1" spans="1:9" x14ac:dyDescent="0.2">
      <c r="A1" s="1"/>
    </row>
    <row r="2" spans="1:9" ht="24.95" customHeight="1" x14ac:dyDescent="0.2">
      <c r="B2" s="42" t="s">
        <v>47</v>
      </c>
      <c r="C2" s="42" t="s">
        <v>52</v>
      </c>
      <c r="D2" s="42" t="s">
        <v>48</v>
      </c>
      <c r="E2" s="43" t="s">
        <v>49</v>
      </c>
      <c r="F2" s="43" t="s">
        <v>50</v>
      </c>
      <c r="G2" s="43" t="s">
        <v>51</v>
      </c>
      <c r="I2" s="69" t="s">
        <v>57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10" t="s">
        <v>98</v>
      </c>
      <c r="C4" s="110"/>
      <c r="D4" s="110"/>
      <c r="E4" s="110"/>
      <c r="F4" s="110"/>
      <c r="G4" s="110"/>
    </row>
    <row r="5" spans="1:9" ht="12.75" customHeight="1" x14ac:dyDescent="0.2">
      <c r="B5" s="13"/>
      <c r="C5" s="13"/>
      <c r="D5" s="13"/>
      <c r="E5" s="51" t="str">
        <f>IF(SUM(E8:E13)=0,0,"")</f>
        <v/>
      </c>
      <c r="F5" s="51"/>
      <c r="G5" s="51">
        <f>IF(REKAPITULACIJA!$F$41=0,"",IF(SUM(G8:G13)=0,0,""))</f>
        <v>0</v>
      </c>
    </row>
    <row r="6" spans="1:9" ht="21.2" customHeight="1" x14ac:dyDescent="0.3">
      <c r="B6" s="111" t="s">
        <v>99</v>
      </c>
      <c r="C6" s="112"/>
      <c r="D6" s="112"/>
      <c r="E6" s="15" t="str">
        <f>IF(SUM(E8:E13)=0,0,"")</f>
        <v/>
      </c>
      <c r="F6" s="15"/>
      <c r="G6" s="16">
        <f>IF(REKAPITULACIJA!$F$41=0,"",IF(SUM(G8:G13)=0,0,""))</f>
        <v>0</v>
      </c>
    </row>
    <row r="7" spans="1:9" x14ac:dyDescent="0.2">
      <c r="E7" s="57" t="str">
        <f>IF(SUM(E8:E13)=0,0,"")</f>
        <v/>
      </c>
      <c r="F7" s="57"/>
      <c r="G7" s="57">
        <f>IF(REKAPITULACIJA!$F$41=0,"",IF(SUM(G8:G13)=0,0,""))</f>
        <v>0</v>
      </c>
    </row>
    <row r="8" spans="1:9" ht="114.75" x14ac:dyDescent="0.2">
      <c r="B8" s="17" t="s">
        <v>237</v>
      </c>
      <c r="C8" s="18" t="s">
        <v>11</v>
      </c>
      <c r="D8" s="19" t="s">
        <v>305</v>
      </c>
      <c r="E8" s="49">
        <v>13</v>
      </c>
      <c r="F8" s="102"/>
      <c r="G8" s="20" t="str">
        <f t="shared" ref="G8" si="0">IF(F8="","",E8*F8)</f>
        <v/>
      </c>
      <c r="I8" s="71">
        <v>0</v>
      </c>
    </row>
    <row r="9" spans="1:9" ht="51" x14ac:dyDescent="0.2">
      <c r="B9" s="17" t="s">
        <v>238</v>
      </c>
      <c r="C9" s="18" t="s">
        <v>4</v>
      </c>
      <c r="D9" s="19" t="s">
        <v>306</v>
      </c>
      <c r="E9" s="49">
        <f>E8*2</f>
        <v>26</v>
      </c>
      <c r="F9" s="102"/>
      <c r="G9" s="20" t="str">
        <f t="shared" ref="G9" si="1">IF(F9="","",E9*F9)</f>
        <v/>
      </c>
      <c r="I9" s="71">
        <v>0</v>
      </c>
    </row>
    <row r="10" spans="1:9" ht="51" x14ac:dyDescent="0.2">
      <c r="B10" s="17" t="s">
        <v>239</v>
      </c>
      <c r="C10" s="18" t="s">
        <v>4</v>
      </c>
      <c r="D10" s="19" t="s">
        <v>311</v>
      </c>
      <c r="E10" s="49">
        <v>2</v>
      </c>
      <c r="F10" s="102"/>
      <c r="G10" s="20" t="str">
        <f t="shared" ref="G10:G11" si="2">IF(F10="","",E10*F10)</f>
        <v/>
      </c>
      <c r="I10" s="71">
        <v>0</v>
      </c>
    </row>
    <row r="11" spans="1:9" ht="51" x14ac:dyDescent="0.2">
      <c r="B11" s="17" t="s">
        <v>240</v>
      </c>
      <c r="C11" s="18" t="s">
        <v>4</v>
      </c>
      <c r="D11" s="19" t="s">
        <v>312</v>
      </c>
      <c r="E11" s="49">
        <v>2</v>
      </c>
      <c r="F11" s="102"/>
      <c r="G11" s="20" t="str">
        <f t="shared" si="2"/>
        <v/>
      </c>
      <c r="I11" s="71">
        <v>0</v>
      </c>
    </row>
    <row r="12" spans="1:9" ht="63.75" x14ac:dyDescent="0.2">
      <c r="B12" s="17" t="s">
        <v>241</v>
      </c>
      <c r="C12" s="18" t="s">
        <v>4</v>
      </c>
      <c r="D12" s="19" t="s">
        <v>313</v>
      </c>
      <c r="E12" s="49">
        <v>2</v>
      </c>
      <c r="F12" s="102"/>
      <c r="G12" s="20" t="str">
        <f t="shared" ref="G12" si="3">IF(F12="","",E12*F12)</f>
        <v/>
      </c>
      <c r="I12" s="71">
        <v>0</v>
      </c>
    </row>
    <row r="13" spans="1:9" ht="63.75" x14ac:dyDescent="0.2">
      <c r="B13" s="17" t="s">
        <v>244</v>
      </c>
      <c r="C13" s="18" t="s">
        <v>4</v>
      </c>
      <c r="D13" s="19" t="s">
        <v>314</v>
      </c>
      <c r="E13" s="49">
        <v>2</v>
      </c>
      <c r="F13" s="102"/>
      <c r="G13" s="20" t="str">
        <f t="shared" ref="G13" si="4">IF(F13="","",E13*F13)</f>
        <v/>
      </c>
      <c r="I13" s="71">
        <v>0</v>
      </c>
    </row>
    <row r="14" spans="1:9" x14ac:dyDescent="0.2">
      <c r="E14" s="14"/>
      <c r="F14" s="14"/>
      <c r="G14" s="14"/>
    </row>
    <row r="15" spans="1:9" ht="21.2" customHeight="1" x14ac:dyDescent="0.3">
      <c r="B15" s="111" t="s">
        <v>100</v>
      </c>
      <c r="C15" s="112"/>
      <c r="D15" s="112"/>
      <c r="E15" s="15"/>
      <c r="F15" s="15"/>
      <c r="G15" s="16"/>
    </row>
    <row r="16" spans="1:9" x14ac:dyDescent="0.2">
      <c r="E16" s="14"/>
      <c r="F16" s="14"/>
      <c r="G16" s="14"/>
    </row>
    <row r="17" spans="1:11" ht="63.75" x14ac:dyDescent="0.2">
      <c r="B17" s="17" t="s">
        <v>101</v>
      </c>
      <c r="C17" s="18" t="s">
        <v>11</v>
      </c>
      <c r="D17" s="19" t="s">
        <v>296</v>
      </c>
      <c r="E17" s="49">
        <v>33.5</v>
      </c>
      <c r="F17" s="102"/>
      <c r="G17" s="20" t="str">
        <f t="shared" ref="G17:G21" si="5">IF(F17="","",E17*F17)</f>
        <v/>
      </c>
      <c r="I17" s="72">
        <v>23.16</v>
      </c>
      <c r="K17" s="6">
        <f>30.2*1.1</f>
        <v>33.22</v>
      </c>
    </row>
    <row r="18" spans="1:11" ht="63.75" x14ac:dyDescent="0.2">
      <c r="B18" s="17" t="s">
        <v>102</v>
      </c>
      <c r="C18" s="18" t="s">
        <v>11</v>
      </c>
      <c r="D18" s="19" t="s">
        <v>295</v>
      </c>
      <c r="E18" s="49">
        <v>7.2</v>
      </c>
      <c r="F18" s="102"/>
      <c r="G18" s="20" t="str">
        <f t="shared" si="5"/>
        <v/>
      </c>
      <c r="I18" s="72">
        <v>29.36</v>
      </c>
      <c r="K18" s="6">
        <f>6.5*1.1</f>
        <v>7.15</v>
      </c>
    </row>
    <row r="19" spans="1:11" ht="63.75" x14ac:dyDescent="0.2">
      <c r="B19" s="17" t="s">
        <v>103</v>
      </c>
      <c r="C19" s="18" t="s">
        <v>11</v>
      </c>
      <c r="D19" s="19" t="s">
        <v>294</v>
      </c>
      <c r="E19" s="49">
        <f>87+49.8</f>
        <v>136.80000000000001</v>
      </c>
      <c r="F19" s="102"/>
      <c r="G19" s="20" t="str">
        <f t="shared" si="5"/>
        <v/>
      </c>
      <c r="I19" s="70">
        <v>0</v>
      </c>
    </row>
    <row r="20" spans="1:11" ht="63.75" x14ac:dyDescent="0.2">
      <c r="B20" s="17" t="s">
        <v>104</v>
      </c>
      <c r="C20" s="18" t="s">
        <v>11</v>
      </c>
      <c r="D20" s="19" t="s">
        <v>293</v>
      </c>
      <c r="E20" s="49">
        <f>+E18+E17</f>
        <v>40.700000000000003</v>
      </c>
      <c r="F20" s="102"/>
      <c r="G20" s="20" t="str">
        <f t="shared" si="5"/>
        <v/>
      </c>
      <c r="I20" s="72">
        <v>3.5</v>
      </c>
    </row>
    <row r="21" spans="1:11" ht="38.25" x14ac:dyDescent="0.2">
      <c r="B21" s="17" t="s">
        <v>105</v>
      </c>
      <c r="C21" s="18" t="s">
        <v>11</v>
      </c>
      <c r="D21" s="19" t="s">
        <v>292</v>
      </c>
      <c r="E21" s="49">
        <v>30</v>
      </c>
      <c r="F21" s="102"/>
      <c r="G21" s="20" t="str">
        <f t="shared" si="5"/>
        <v/>
      </c>
      <c r="I21" s="72">
        <v>5</v>
      </c>
    </row>
    <row r="22" spans="1:11" ht="38.25" x14ac:dyDescent="0.2">
      <c r="B22" s="17" t="s">
        <v>106</v>
      </c>
      <c r="C22" s="18" t="s">
        <v>11</v>
      </c>
      <c r="D22" s="19" t="s">
        <v>291</v>
      </c>
      <c r="E22" s="49">
        <f>67+49.8</f>
        <v>116.8</v>
      </c>
      <c r="F22" s="102"/>
      <c r="G22" s="20" t="str">
        <f t="shared" ref="G22" si="6">IF(F22="","",E22*F22)</f>
        <v/>
      </c>
      <c r="I22" s="70">
        <v>0</v>
      </c>
    </row>
    <row r="23" spans="1:11" ht="63.75" x14ac:dyDescent="0.2">
      <c r="B23" s="17" t="s">
        <v>107</v>
      </c>
      <c r="C23" s="18" t="s">
        <v>11</v>
      </c>
      <c r="D23" s="19" t="s">
        <v>290</v>
      </c>
      <c r="E23" s="49">
        <f>E17+E18</f>
        <v>40.700000000000003</v>
      </c>
      <c r="F23" s="102"/>
      <c r="G23" s="20" t="str">
        <f t="shared" ref="G23:G25" si="7">IF(F23="","",E23*F23)</f>
        <v/>
      </c>
      <c r="I23" s="73">
        <v>3.6</v>
      </c>
    </row>
    <row r="24" spans="1:11" ht="63.75" x14ac:dyDescent="0.2">
      <c r="B24" s="17" t="s">
        <v>108</v>
      </c>
      <c r="C24" s="18" t="s">
        <v>11</v>
      </c>
      <c r="D24" s="19" t="s">
        <v>289</v>
      </c>
      <c r="E24" s="49">
        <f>E19</f>
        <v>136.80000000000001</v>
      </c>
      <c r="F24" s="102"/>
      <c r="G24" s="20" t="str">
        <f t="shared" si="7"/>
        <v/>
      </c>
      <c r="I24" s="73">
        <v>3.6</v>
      </c>
    </row>
    <row r="25" spans="1:11" ht="51" x14ac:dyDescent="0.2">
      <c r="B25" s="17" t="s">
        <v>109</v>
      </c>
      <c r="C25" s="18" t="s">
        <v>11</v>
      </c>
      <c r="D25" s="19" t="s">
        <v>288</v>
      </c>
      <c r="E25" s="49">
        <f>E23+E24</f>
        <v>177.5</v>
      </c>
      <c r="F25" s="102"/>
      <c r="G25" s="20" t="str">
        <f t="shared" si="7"/>
        <v/>
      </c>
      <c r="I25" s="72">
        <v>1.04</v>
      </c>
    </row>
    <row r="26" spans="1:11" s="56" customFormat="1" ht="51" x14ac:dyDescent="0.2">
      <c r="A26" s="53"/>
      <c r="B26" s="54" t="s">
        <v>216</v>
      </c>
      <c r="C26" s="55" t="s">
        <v>4</v>
      </c>
      <c r="D26" s="47" t="s">
        <v>287</v>
      </c>
      <c r="E26" s="49">
        <v>2</v>
      </c>
      <c r="F26" s="103"/>
      <c r="G26" s="49" t="str">
        <f t="shared" ref="G26:G29" si="8">IF(F26="","",E26*F26)</f>
        <v/>
      </c>
    </row>
    <row r="27" spans="1:11" s="56" customFormat="1" ht="25.5" x14ac:dyDescent="0.2">
      <c r="A27" s="53"/>
      <c r="B27" s="54" t="s">
        <v>234</v>
      </c>
      <c r="C27" s="55" t="s">
        <v>4</v>
      </c>
      <c r="D27" s="47" t="s">
        <v>297</v>
      </c>
      <c r="E27" s="49">
        <v>1</v>
      </c>
      <c r="F27" s="103"/>
      <c r="G27" s="49" t="str">
        <f t="shared" si="8"/>
        <v/>
      </c>
    </row>
    <row r="28" spans="1:11" s="56" customFormat="1" ht="38.25" x14ac:dyDescent="0.2">
      <c r="A28" s="53"/>
      <c r="B28" s="54" t="s">
        <v>235</v>
      </c>
      <c r="C28" s="55" t="s">
        <v>4</v>
      </c>
      <c r="D28" s="47" t="s">
        <v>304</v>
      </c>
      <c r="E28" s="49">
        <v>8</v>
      </c>
      <c r="F28" s="103"/>
      <c r="G28" s="49" t="str">
        <f t="shared" ref="G28" si="9">IF(F28="","",E28*F28)</f>
        <v/>
      </c>
    </row>
    <row r="29" spans="1:11" s="56" customFormat="1" ht="38.25" x14ac:dyDescent="0.2">
      <c r="A29" s="53"/>
      <c r="B29" s="54" t="s">
        <v>303</v>
      </c>
      <c r="C29" s="55" t="s">
        <v>11</v>
      </c>
      <c r="D29" s="47" t="s">
        <v>298</v>
      </c>
      <c r="E29" s="49">
        <f>87+40.7</f>
        <v>127.7</v>
      </c>
      <c r="F29" s="103"/>
      <c r="G29" s="49" t="str">
        <f t="shared" si="8"/>
        <v/>
      </c>
    </row>
    <row r="30" spans="1:11" x14ac:dyDescent="0.2">
      <c r="B30" s="50"/>
      <c r="I30" s="6"/>
    </row>
    <row r="31" spans="1:11" ht="21.2" customHeight="1" x14ac:dyDescent="0.3">
      <c r="B31" s="111" t="s">
        <v>110</v>
      </c>
      <c r="C31" s="112"/>
      <c r="D31" s="112"/>
      <c r="E31" s="15"/>
      <c r="F31" s="15"/>
      <c r="G31" s="16"/>
    </row>
    <row r="32" spans="1:11" ht="12.75" customHeight="1" x14ac:dyDescent="0.3">
      <c r="B32" s="58"/>
      <c r="C32" s="58"/>
      <c r="D32" s="58"/>
      <c r="E32" s="59"/>
      <c r="F32" s="59"/>
      <c r="G32" s="59"/>
      <c r="I32" s="64"/>
    </row>
    <row r="33" spans="2:9" ht="63.75" x14ac:dyDescent="0.2">
      <c r="B33" s="54" t="s">
        <v>111</v>
      </c>
      <c r="C33" s="55" t="s">
        <v>4</v>
      </c>
      <c r="D33" s="47" t="s">
        <v>286</v>
      </c>
      <c r="E33" s="49">
        <f>E38+E39</f>
        <v>8</v>
      </c>
      <c r="F33" s="103"/>
      <c r="G33" s="20" t="str">
        <f t="shared" ref="G33" si="10">IF(F33="","",E33*F33)</f>
        <v/>
      </c>
      <c r="I33" s="75">
        <v>0</v>
      </c>
    </row>
    <row r="34" spans="2:9" ht="89.25" x14ac:dyDescent="0.2">
      <c r="B34" s="54" t="s">
        <v>112</v>
      </c>
      <c r="C34" s="55" t="s">
        <v>4</v>
      </c>
      <c r="D34" s="19" t="s">
        <v>285</v>
      </c>
      <c r="E34" s="49">
        <f>4+3</f>
        <v>7</v>
      </c>
      <c r="F34" s="103"/>
      <c r="G34" s="49" t="str">
        <f t="shared" ref="G34" si="11">IF(F34="","",E34*F34)</f>
        <v/>
      </c>
      <c r="I34" s="77">
        <v>444.9</v>
      </c>
    </row>
    <row r="35" spans="2:9" ht="25.5" x14ac:dyDescent="0.2">
      <c r="B35" s="17" t="s">
        <v>113</v>
      </c>
      <c r="C35" s="18" t="s">
        <v>4</v>
      </c>
      <c r="D35" s="19" t="s">
        <v>341</v>
      </c>
      <c r="E35" s="20">
        <f>E33</f>
        <v>8</v>
      </c>
      <c r="F35" s="102"/>
      <c r="G35" s="20" t="str">
        <f t="shared" ref="G35:G36" si="12">IF(F35="","",E35*F35)</f>
        <v/>
      </c>
      <c r="I35" s="74">
        <v>0</v>
      </c>
    </row>
    <row r="36" spans="2:9" ht="25.5" x14ac:dyDescent="0.2">
      <c r="B36" s="17" t="s">
        <v>114</v>
      </c>
      <c r="C36" s="18" t="s">
        <v>4</v>
      </c>
      <c r="D36" s="19" t="s">
        <v>342</v>
      </c>
      <c r="E36" s="20">
        <f>E34</f>
        <v>7</v>
      </c>
      <c r="F36" s="102"/>
      <c r="G36" s="20" t="str">
        <f t="shared" si="12"/>
        <v/>
      </c>
      <c r="I36" s="74">
        <v>0</v>
      </c>
    </row>
    <row r="37" spans="2:9" ht="51" x14ac:dyDescent="0.2">
      <c r="B37" s="17" t="s">
        <v>115</v>
      </c>
      <c r="C37" s="18" t="s">
        <v>4</v>
      </c>
      <c r="D37" s="19" t="s">
        <v>284</v>
      </c>
      <c r="E37" s="49">
        <f>4+3</f>
        <v>7</v>
      </c>
      <c r="F37" s="102"/>
      <c r="G37" s="20" t="str">
        <f t="shared" ref="G37:G40" si="13">IF(F37="","",E37*F37)</f>
        <v/>
      </c>
      <c r="I37" s="76">
        <v>286.8</v>
      </c>
    </row>
    <row r="38" spans="2:9" ht="38.25" x14ac:dyDescent="0.2">
      <c r="B38" s="17" t="s">
        <v>116</v>
      </c>
      <c r="C38" s="18" t="s">
        <v>4</v>
      </c>
      <c r="D38" s="19" t="s">
        <v>283</v>
      </c>
      <c r="E38" s="49">
        <v>6</v>
      </c>
      <c r="F38" s="102"/>
      <c r="G38" s="20" t="str">
        <f t="shared" si="13"/>
        <v/>
      </c>
      <c r="I38" s="75">
        <v>0</v>
      </c>
    </row>
    <row r="39" spans="2:9" ht="38.25" x14ac:dyDescent="0.2">
      <c r="B39" s="17" t="s">
        <v>242</v>
      </c>
      <c r="C39" s="18" t="s">
        <v>4</v>
      </c>
      <c r="D39" s="19" t="s">
        <v>282</v>
      </c>
      <c r="E39" s="49">
        <v>2</v>
      </c>
      <c r="F39" s="102"/>
      <c r="G39" s="20" t="str">
        <f t="shared" si="13"/>
        <v/>
      </c>
      <c r="I39" s="76">
        <v>289</v>
      </c>
    </row>
    <row r="40" spans="2:9" ht="63.75" x14ac:dyDescent="0.2">
      <c r="B40" s="17" t="s">
        <v>117</v>
      </c>
      <c r="C40" s="18" t="s">
        <v>4</v>
      </c>
      <c r="D40" s="19" t="s">
        <v>236</v>
      </c>
      <c r="E40" s="49">
        <v>9</v>
      </c>
      <c r="F40" s="102"/>
      <c r="G40" s="20" t="str">
        <f t="shared" si="13"/>
        <v/>
      </c>
      <c r="I40" s="75">
        <v>0</v>
      </c>
    </row>
    <row r="41" spans="2:9" ht="25.5" x14ac:dyDescent="0.2">
      <c r="B41" s="17" t="s">
        <v>217</v>
      </c>
      <c r="C41" s="18" t="s">
        <v>4</v>
      </c>
      <c r="D41" s="19" t="s">
        <v>206</v>
      </c>
      <c r="E41" s="49">
        <v>3</v>
      </c>
      <c r="F41" s="102"/>
      <c r="G41" s="20" t="str">
        <f t="shared" ref="G41" si="14">IF(F41="","",E41*F41)</f>
        <v/>
      </c>
      <c r="I41" s="74">
        <v>0</v>
      </c>
    </row>
    <row r="42" spans="2:9" ht="13.5" thickBot="1" x14ac:dyDescent="0.25">
      <c r="B42" s="50"/>
      <c r="I42" s="6"/>
    </row>
    <row r="43" spans="2:9" ht="16.5" thickBot="1" x14ac:dyDescent="0.25">
      <c r="D43" s="25" t="s">
        <v>130</v>
      </c>
      <c r="E43" s="26"/>
      <c r="F43" s="108" t="str">
        <f>IF(SUM(G8:G41)=0,"",SUM(G8:G41))</f>
        <v/>
      </c>
      <c r="G43" s="109"/>
    </row>
  </sheetData>
  <sheetProtection algorithmName="SHA-512" hashValue="Y+hYyzCa5SxRZdgm2B9XFC4jlr/20NSQbfjtN4stOmIJVPQ+1kjU+UV+9aEywFBg/qazT/2uzSwkYd3vRzL2oQ==" saltValue="/KJbzRx6+ibWe/yZBlpheA==" spinCount="100000" sheet="1" selectLockedCells="1"/>
  <dataConsolidate/>
  <mergeCells count="5">
    <mergeCell ref="B4:G4"/>
    <mergeCell ref="F43:G43"/>
    <mergeCell ref="B6:D6"/>
    <mergeCell ref="B15:D15"/>
    <mergeCell ref="B31:D3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30" max="6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rgb="FF0070C0"/>
  </sheetPr>
  <dimension ref="A1:I23"/>
  <sheetViews>
    <sheetView view="pageBreakPreview" zoomScaleNormal="100" zoomScaleSheetLayoutView="100" zoomScalePageLayoutView="120" workbookViewId="0">
      <pane ySplit="2" topLeftCell="A3" activePane="bottomLeft" state="frozen"/>
      <selection activeCell="H28" sqref="H28"/>
      <selection pane="bottomLeft" activeCell="F8" sqref="F8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60"/>
    <col min="6" max="6" width="9.140625" style="5" customWidth="1"/>
    <col min="7" max="7" width="9.7109375" style="5" customWidth="1"/>
    <col min="8" max="8" width="4" style="6" customWidth="1"/>
    <col min="9" max="9" width="16.85546875" style="6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47</v>
      </c>
      <c r="C2" s="42" t="s">
        <v>52</v>
      </c>
      <c r="D2" s="42" t="s">
        <v>48</v>
      </c>
      <c r="E2" s="61" t="s">
        <v>49</v>
      </c>
      <c r="F2" s="43" t="s">
        <v>50</v>
      </c>
      <c r="G2" s="43" t="s">
        <v>51</v>
      </c>
      <c r="I2" s="65" t="s">
        <v>57</v>
      </c>
    </row>
    <row r="3" spans="1:9" x14ac:dyDescent="0.2">
      <c r="B3" s="44"/>
      <c r="C3" s="44"/>
      <c r="D3" s="45"/>
      <c r="E3" s="62"/>
      <c r="F3" s="46"/>
      <c r="G3" s="46"/>
    </row>
    <row r="4" spans="1:9" ht="15.75" x14ac:dyDescent="0.2">
      <c r="B4" s="110" t="s">
        <v>118</v>
      </c>
      <c r="C4" s="110"/>
      <c r="D4" s="110"/>
      <c r="E4" s="115"/>
      <c r="F4" s="110"/>
      <c r="G4" s="110"/>
    </row>
    <row r="5" spans="1:9" ht="12.75" customHeight="1" x14ac:dyDescent="0.2">
      <c r="B5" s="13"/>
      <c r="C5" s="13"/>
      <c r="D5" s="13"/>
      <c r="E5" s="66" t="str">
        <f>IF(SUM(E8:E8)=0,0,"")</f>
        <v/>
      </c>
      <c r="F5" s="57"/>
      <c r="G5" s="57"/>
    </row>
    <row r="6" spans="1:9" ht="21.2" customHeight="1" x14ac:dyDescent="0.3">
      <c r="B6" s="111" t="s">
        <v>119</v>
      </c>
      <c r="C6" s="112"/>
      <c r="D6" s="112"/>
      <c r="E6" s="67" t="str">
        <f>IF(SUM(E8:E8)=0,0,"")</f>
        <v/>
      </c>
      <c r="F6" s="15"/>
      <c r="G6" s="16"/>
    </row>
    <row r="7" spans="1:9" x14ac:dyDescent="0.2">
      <c r="E7" s="66" t="str">
        <f>IF(SUM(E8:E8)=0,0,"")</f>
        <v/>
      </c>
      <c r="F7" s="57"/>
      <c r="G7" s="57"/>
    </row>
    <row r="8" spans="1:9" ht="38.25" x14ac:dyDescent="0.2">
      <c r="B8" s="17" t="s">
        <v>120</v>
      </c>
      <c r="C8" s="18" t="s">
        <v>8</v>
      </c>
      <c r="D8" s="19" t="s">
        <v>344</v>
      </c>
      <c r="E8" s="49">
        <f>22*0.25</f>
        <v>5.5</v>
      </c>
      <c r="F8" s="102"/>
      <c r="G8" s="20" t="str">
        <f t="shared" ref="G8" si="0">IF(F8="","",E8*F8)</f>
        <v/>
      </c>
      <c r="I8" s="64">
        <v>0</v>
      </c>
    </row>
    <row r="9" spans="1:9" x14ac:dyDescent="0.2">
      <c r="E9" s="48" t="str">
        <f>IF(SUM(E12:E13)=0,0,"")</f>
        <v/>
      </c>
      <c r="F9" s="14"/>
      <c r="G9" s="14"/>
    </row>
    <row r="10" spans="1:9" ht="21.2" customHeight="1" x14ac:dyDescent="0.3">
      <c r="B10" s="111" t="s">
        <v>121</v>
      </c>
      <c r="C10" s="112"/>
      <c r="D10" s="112"/>
      <c r="E10" s="67" t="str">
        <f>IF(SUM(E12:E13)=0,0,"")</f>
        <v/>
      </c>
      <c r="F10" s="15"/>
      <c r="G10" s="16"/>
    </row>
    <row r="11" spans="1:9" x14ac:dyDescent="0.2">
      <c r="E11" s="48" t="str">
        <f>IF(SUM(E12:E13)=0,0,"")</f>
        <v/>
      </c>
      <c r="F11" s="14"/>
      <c r="G11" s="14"/>
    </row>
    <row r="12" spans="1:9" ht="38.25" x14ac:dyDescent="0.2">
      <c r="B12" s="17" t="s">
        <v>122</v>
      </c>
      <c r="C12" s="18" t="s">
        <v>4</v>
      </c>
      <c r="D12" s="19" t="s">
        <v>347</v>
      </c>
      <c r="E12" s="49">
        <v>15</v>
      </c>
      <c r="F12" s="102"/>
      <c r="G12" s="20" t="str">
        <f t="shared" ref="G12" si="1">IF(F12="","",E12*F12)</f>
        <v/>
      </c>
      <c r="I12" s="64">
        <v>0</v>
      </c>
    </row>
    <row r="13" spans="1:9" ht="38.25" x14ac:dyDescent="0.2">
      <c r="B13" s="17" t="s">
        <v>345</v>
      </c>
      <c r="C13" s="18" t="s">
        <v>4</v>
      </c>
      <c r="D13" s="19" t="s">
        <v>346</v>
      </c>
      <c r="E13" s="49">
        <v>5</v>
      </c>
      <c r="F13" s="102"/>
      <c r="G13" s="20" t="str">
        <f t="shared" ref="G13" si="2">IF(F13="","",E13*F13)</f>
        <v/>
      </c>
      <c r="I13" s="64">
        <v>0</v>
      </c>
    </row>
    <row r="14" spans="1:9" x14ac:dyDescent="0.2">
      <c r="E14" s="48" t="str">
        <f>IF(SUM(E17:E21)=0,0,"")</f>
        <v/>
      </c>
      <c r="F14" s="14"/>
      <c r="G14" s="14"/>
    </row>
    <row r="15" spans="1:9" ht="21.2" customHeight="1" x14ac:dyDescent="0.3">
      <c r="B15" s="111" t="s">
        <v>123</v>
      </c>
      <c r="C15" s="112"/>
      <c r="D15" s="112"/>
      <c r="E15" s="67" t="str">
        <f>IF(SUM(E17:E21)=0,0,"")</f>
        <v/>
      </c>
      <c r="F15" s="15"/>
      <c r="G15" s="16"/>
    </row>
    <row r="16" spans="1:9" x14ac:dyDescent="0.2">
      <c r="E16" s="48" t="str">
        <f>IF(SUM(E17:E21)=0,0,"")</f>
        <v/>
      </c>
      <c r="F16" s="14"/>
      <c r="G16" s="14"/>
    </row>
    <row r="17" spans="2:9" ht="38.25" x14ac:dyDescent="0.2">
      <c r="B17" s="17" t="s">
        <v>124</v>
      </c>
      <c r="C17" s="18" t="s">
        <v>15</v>
      </c>
      <c r="D17" s="19" t="s">
        <v>133</v>
      </c>
      <c r="E17" s="20">
        <f>4.5</f>
        <v>4.5</v>
      </c>
      <c r="F17" s="102"/>
      <c r="G17" s="20" t="str">
        <f t="shared" ref="G17" si="3">IF(F17="","",E17*F17)</f>
        <v/>
      </c>
      <c r="I17" s="64">
        <v>0</v>
      </c>
    </row>
    <row r="18" spans="2:9" ht="38.25" x14ac:dyDescent="0.2">
      <c r="B18" s="17" t="s">
        <v>125</v>
      </c>
      <c r="C18" s="18" t="s">
        <v>15</v>
      </c>
      <c r="D18" s="19" t="s">
        <v>134</v>
      </c>
      <c r="E18" s="20">
        <v>4.5</v>
      </c>
      <c r="F18" s="102"/>
      <c r="G18" s="20" t="str">
        <f t="shared" ref="G18:G21" si="4">IF(F18="","",E18*F18)</f>
        <v/>
      </c>
      <c r="I18" s="64">
        <v>0</v>
      </c>
    </row>
    <row r="19" spans="2:9" ht="38.25" x14ac:dyDescent="0.2">
      <c r="B19" s="17" t="s">
        <v>126</v>
      </c>
      <c r="C19" s="18" t="s">
        <v>15</v>
      </c>
      <c r="D19" s="19" t="s">
        <v>135</v>
      </c>
      <c r="E19" s="20">
        <v>4.5</v>
      </c>
      <c r="F19" s="102"/>
      <c r="G19" s="20" t="str">
        <f t="shared" si="4"/>
        <v/>
      </c>
      <c r="I19" s="64">
        <v>0</v>
      </c>
    </row>
    <row r="20" spans="2:9" ht="38.25" x14ac:dyDescent="0.2">
      <c r="B20" s="17" t="s">
        <v>127</v>
      </c>
      <c r="C20" s="18" t="s">
        <v>15</v>
      </c>
      <c r="D20" s="19" t="s">
        <v>136</v>
      </c>
      <c r="E20" s="20">
        <v>4.5</v>
      </c>
      <c r="F20" s="102"/>
      <c r="G20" s="20" t="str">
        <f t="shared" si="4"/>
        <v/>
      </c>
      <c r="I20" s="64">
        <v>0</v>
      </c>
    </row>
    <row r="21" spans="2:9" ht="38.25" x14ac:dyDescent="0.2">
      <c r="B21" s="17" t="s">
        <v>128</v>
      </c>
      <c r="C21" s="18" t="s">
        <v>15</v>
      </c>
      <c r="D21" s="19" t="s">
        <v>137</v>
      </c>
      <c r="E21" s="20">
        <v>4.5</v>
      </c>
      <c r="F21" s="102"/>
      <c r="G21" s="20" t="str">
        <f t="shared" si="4"/>
        <v/>
      </c>
      <c r="I21" s="64">
        <v>0</v>
      </c>
    </row>
    <row r="22" spans="2:9" ht="13.5" thickBot="1" x14ac:dyDescent="0.25"/>
    <row r="23" spans="2:9" ht="16.5" thickBot="1" x14ac:dyDescent="0.25">
      <c r="D23" s="25" t="s">
        <v>129</v>
      </c>
      <c r="E23" s="63"/>
      <c r="F23" s="108" t="str">
        <f>IF(SUM(G8:G21)=0,"",SUM(G8:G21))</f>
        <v/>
      </c>
      <c r="G23" s="109"/>
    </row>
  </sheetData>
  <sheetProtection algorithmName="SHA-512" hashValue="XwZkdJsGNaU1WIYsc2GCBXqbovbbsPFO1m8Hrx1ZNoEYOFyhd1ZvQViX4sa1dzPOSd9pfwqb4cfex6aRHy6+yQ==" saltValue="0LLtl3EwVvOXQ0GinXz6pQ==" spinCount="100000" sheet="1" selectLockedCells="1"/>
  <dataConsolidate/>
  <mergeCells count="5">
    <mergeCell ref="B4:G4"/>
    <mergeCell ref="B10:D10"/>
    <mergeCell ref="B6:D6"/>
    <mergeCell ref="B15:D15"/>
    <mergeCell ref="F23:G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rgb="FF002060"/>
  </sheetPr>
  <dimension ref="A1:I28"/>
  <sheetViews>
    <sheetView view="pageBreakPreview" zoomScaleNormal="145" zoomScaleSheetLayoutView="100" zoomScalePageLayoutView="120" workbookViewId="0">
      <pane ySplit="2" topLeftCell="A8" activePane="bottomLeft" state="frozen"/>
      <selection activeCell="H28" sqref="H28"/>
      <selection pane="bottomLeft" activeCell="F9" sqref="F9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99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47</v>
      </c>
      <c r="C2" s="42" t="s">
        <v>52</v>
      </c>
      <c r="D2" s="42" t="s">
        <v>48</v>
      </c>
      <c r="E2" s="43" t="s">
        <v>49</v>
      </c>
      <c r="F2" s="43" t="s">
        <v>50</v>
      </c>
      <c r="G2" s="43" t="s">
        <v>51</v>
      </c>
      <c r="I2" s="100" t="s">
        <v>57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10" t="s">
        <v>139</v>
      </c>
      <c r="C4" s="110"/>
      <c r="D4" s="110"/>
      <c r="E4" s="110"/>
      <c r="F4" s="110"/>
      <c r="G4" s="110"/>
    </row>
    <row r="5" spans="1:9" ht="12.75" customHeight="1" x14ac:dyDescent="0.2">
      <c r="B5" s="13"/>
      <c r="C5" s="13"/>
      <c r="D5" s="13"/>
      <c r="E5" s="51" t="str">
        <f>IF(SUM(E8:E13)=0,0,"")</f>
        <v/>
      </c>
      <c r="F5" s="51"/>
      <c r="G5" s="51"/>
    </row>
    <row r="6" spans="1:9" ht="21.2" customHeight="1" x14ac:dyDescent="0.3">
      <c r="B6" s="111" t="s">
        <v>140</v>
      </c>
      <c r="C6" s="112"/>
      <c r="D6" s="112"/>
      <c r="E6" s="15" t="str">
        <f>IF(SUM(E8:E13)=0,0,"")</f>
        <v/>
      </c>
      <c r="F6" s="15"/>
      <c r="G6" s="16"/>
    </row>
    <row r="7" spans="1:9" x14ac:dyDescent="0.2">
      <c r="E7" s="57" t="str">
        <f>IF(SUM(E8:E13)=0,0,"")</f>
        <v/>
      </c>
      <c r="F7" s="57"/>
      <c r="G7" s="57"/>
    </row>
    <row r="8" spans="1:9" ht="51" x14ac:dyDescent="0.2">
      <c r="B8" s="17" t="s">
        <v>225</v>
      </c>
      <c r="C8" s="18" t="s">
        <v>4</v>
      </c>
      <c r="D8" s="19" t="s">
        <v>332</v>
      </c>
      <c r="E8" s="49">
        <v>4</v>
      </c>
      <c r="F8" s="102"/>
      <c r="G8" s="20" t="str">
        <f t="shared" ref="G8:G9" si="0">IF(F8="","",E8*F8)</f>
        <v/>
      </c>
      <c r="I8" s="99">
        <v>0</v>
      </c>
    </row>
    <row r="9" spans="1:9" ht="38.25" x14ac:dyDescent="0.2">
      <c r="B9" s="17" t="s">
        <v>141</v>
      </c>
      <c r="C9" s="18" t="s">
        <v>4</v>
      </c>
      <c r="D9" s="19" t="s">
        <v>333</v>
      </c>
      <c r="E9" s="49">
        <v>4</v>
      </c>
      <c r="F9" s="102"/>
      <c r="G9" s="20" t="str">
        <f t="shared" si="0"/>
        <v/>
      </c>
      <c r="I9" s="99">
        <v>0</v>
      </c>
    </row>
    <row r="10" spans="1:9" ht="51" x14ac:dyDescent="0.2">
      <c r="B10" s="17" t="s">
        <v>142</v>
      </c>
      <c r="C10" s="18" t="s">
        <v>4</v>
      </c>
      <c r="D10" s="19" t="s">
        <v>329</v>
      </c>
      <c r="E10" s="49">
        <v>2</v>
      </c>
      <c r="F10" s="102"/>
      <c r="G10" s="20" t="str">
        <f t="shared" ref="G10:G13" si="1">IF(F10="","",E10*F10)</f>
        <v/>
      </c>
      <c r="I10" s="99">
        <v>105</v>
      </c>
    </row>
    <row r="11" spans="1:9" ht="51" x14ac:dyDescent="0.2">
      <c r="B11" s="17" t="s">
        <v>143</v>
      </c>
      <c r="C11" s="18" t="s">
        <v>4</v>
      </c>
      <c r="D11" s="19" t="s">
        <v>330</v>
      </c>
      <c r="E11" s="49">
        <v>2</v>
      </c>
      <c r="F11" s="102"/>
      <c r="G11" s="20" t="str">
        <f t="shared" si="1"/>
        <v/>
      </c>
      <c r="I11" s="99">
        <v>125</v>
      </c>
    </row>
    <row r="12" spans="1:9" ht="51" x14ac:dyDescent="0.2">
      <c r="B12" s="17" t="s">
        <v>144</v>
      </c>
      <c r="C12" s="18" t="s">
        <v>4</v>
      </c>
      <c r="D12" s="19" t="s">
        <v>334</v>
      </c>
      <c r="E12" s="49">
        <v>3</v>
      </c>
      <c r="F12" s="102"/>
      <c r="G12" s="20" t="str">
        <f t="shared" si="1"/>
        <v/>
      </c>
      <c r="I12" s="99">
        <v>0</v>
      </c>
    </row>
    <row r="13" spans="1:9" ht="51" x14ac:dyDescent="0.2">
      <c r="B13" s="17" t="s">
        <v>145</v>
      </c>
      <c r="C13" s="18" t="s">
        <v>4</v>
      </c>
      <c r="D13" s="19" t="s">
        <v>335</v>
      </c>
      <c r="E13" s="49">
        <v>2</v>
      </c>
      <c r="F13" s="102"/>
      <c r="G13" s="20" t="str">
        <f t="shared" si="1"/>
        <v/>
      </c>
      <c r="I13" s="99">
        <v>150</v>
      </c>
    </row>
    <row r="14" spans="1:9" x14ac:dyDescent="0.2">
      <c r="E14" s="14" t="str">
        <f>IF(SUM(E17:E26)=0,0,"")</f>
        <v/>
      </c>
      <c r="F14" s="14"/>
      <c r="G14" s="14"/>
    </row>
    <row r="15" spans="1:9" ht="21.2" customHeight="1" x14ac:dyDescent="0.3">
      <c r="B15" s="111" t="s">
        <v>146</v>
      </c>
      <c r="C15" s="112"/>
      <c r="D15" s="112"/>
      <c r="E15" s="15" t="str">
        <f>IF(SUM(E17:E26)=0,0,"")</f>
        <v/>
      </c>
      <c r="F15" s="15"/>
      <c r="G15" s="16"/>
    </row>
    <row r="16" spans="1:9" x14ac:dyDescent="0.2">
      <c r="E16" s="14" t="str">
        <f>IF(SUM(E17:E26)=0,0,"")</f>
        <v/>
      </c>
      <c r="F16" s="14"/>
      <c r="G16" s="14"/>
    </row>
    <row r="17" spans="2:9" ht="63.75" x14ac:dyDescent="0.2">
      <c r="B17" s="17" t="s">
        <v>147</v>
      </c>
      <c r="C17" s="18" t="s">
        <v>11</v>
      </c>
      <c r="D17" s="19" t="s">
        <v>327</v>
      </c>
      <c r="E17" s="49">
        <f>3.75+3.25</f>
        <v>7</v>
      </c>
      <c r="F17" s="102"/>
      <c r="G17" s="20" t="str">
        <f t="shared" ref="G17:G18" si="2">IF(F17="","",E17*F17)</f>
        <v/>
      </c>
      <c r="I17" s="99">
        <v>2.5</v>
      </c>
    </row>
    <row r="18" spans="2:9" ht="76.5" x14ac:dyDescent="0.2">
      <c r="B18" s="17" t="s">
        <v>226</v>
      </c>
      <c r="C18" s="18" t="s">
        <v>8</v>
      </c>
      <c r="D18" s="19" t="s">
        <v>331</v>
      </c>
      <c r="E18" s="49">
        <f>30+4.75</f>
        <v>34.75</v>
      </c>
      <c r="F18" s="102"/>
      <c r="G18" s="20" t="str">
        <f t="shared" si="2"/>
        <v/>
      </c>
      <c r="I18" s="99">
        <v>15</v>
      </c>
    </row>
    <row r="19" spans="2:9" ht="63.75" x14ac:dyDescent="0.2">
      <c r="B19" s="17" t="s">
        <v>148</v>
      </c>
      <c r="C19" s="18" t="s">
        <v>8</v>
      </c>
      <c r="D19" s="19" t="s">
        <v>328</v>
      </c>
      <c r="E19" s="49">
        <f>6*0.7</f>
        <v>4.1999999999999993</v>
      </c>
      <c r="F19" s="102"/>
      <c r="G19" s="20" t="str">
        <f t="shared" ref="G19:G24" si="3">IF(F19="","",E19*F19)</f>
        <v/>
      </c>
      <c r="I19" s="99">
        <v>0</v>
      </c>
    </row>
    <row r="20" spans="2:9" ht="63.75" x14ac:dyDescent="0.2">
      <c r="B20" s="17" t="s">
        <v>149</v>
      </c>
      <c r="C20" s="18" t="s">
        <v>11</v>
      </c>
      <c r="D20" s="47" t="s">
        <v>324</v>
      </c>
      <c r="E20" s="49">
        <f>156*1.1</f>
        <v>171.60000000000002</v>
      </c>
      <c r="F20" s="102"/>
      <c r="G20" s="20" t="str">
        <f t="shared" si="3"/>
        <v/>
      </c>
      <c r="I20" s="99">
        <v>0</v>
      </c>
    </row>
    <row r="21" spans="2:9" ht="63.75" x14ac:dyDescent="0.2">
      <c r="B21" s="17" t="s">
        <v>150</v>
      </c>
      <c r="C21" s="18" t="s">
        <v>11</v>
      </c>
      <c r="D21" s="47" t="s">
        <v>323</v>
      </c>
      <c r="E21" s="49">
        <f>156*1.1+13+20</f>
        <v>204.60000000000002</v>
      </c>
      <c r="F21" s="102"/>
      <c r="G21" s="20" t="str">
        <f t="shared" si="3"/>
        <v/>
      </c>
      <c r="I21" s="99">
        <v>0</v>
      </c>
    </row>
    <row r="22" spans="2:9" ht="89.25" x14ac:dyDescent="0.2">
      <c r="B22" s="17" t="s">
        <v>151</v>
      </c>
      <c r="C22" s="18" t="s">
        <v>8</v>
      </c>
      <c r="D22" s="19" t="s">
        <v>343</v>
      </c>
      <c r="E22" s="49">
        <f>6*0.22*1.1</f>
        <v>1.4520000000000002</v>
      </c>
      <c r="F22" s="102"/>
      <c r="G22" s="20" t="str">
        <f t="shared" si="3"/>
        <v/>
      </c>
      <c r="I22" s="99">
        <v>0</v>
      </c>
    </row>
    <row r="23" spans="2:9" ht="89.25" x14ac:dyDescent="0.2">
      <c r="B23" s="17" t="s">
        <v>152</v>
      </c>
      <c r="C23" s="18" t="s">
        <v>8</v>
      </c>
      <c r="D23" s="19" t="s">
        <v>326</v>
      </c>
      <c r="E23" s="49">
        <f>6*0.25*1.1</f>
        <v>1.6500000000000001</v>
      </c>
      <c r="F23" s="102"/>
      <c r="G23" s="20" t="str">
        <f t="shared" si="3"/>
        <v/>
      </c>
      <c r="I23" s="99">
        <v>0</v>
      </c>
    </row>
    <row r="24" spans="2:9" ht="89.25" x14ac:dyDescent="0.2">
      <c r="B24" s="17" t="s">
        <v>153</v>
      </c>
      <c r="C24" s="18" t="s">
        <v>8</v>
      </c>
      <c r="D24" s="19" t="s">
        <v>325</v>
      </c>
      <c r="E24" s="49">
        <f>21.2*1.1+18.1*1.1</f>
        <v>43.230000000000004</v>
      </c>
      <c r="F24" s="102"/>
      <c r="G24" s="20" t="str">
        <f t="shared" si="3"/>
        <v/>
      </c>
      <c r="I24" s="99">
        <v>30</v>
      </c>
    </row>
    <row r="25" spans="2:9" ht="76.5" x14ac:dyDescent="0.2">
      <c r="B25" s="17" t="s">
        <v>154</v>
      </c>
      <c r="C25" s="18" t="s">
        <v>11</v>
      </c>
      <c r="D25" s="47" t="s">
        <v>280</v>
      </c>
      <c r="E25" s="49">
        <v>12</v>
      </c>
      <c r="F25" s="102"/>
      <c r="G25" s="20" t="str">
        <f t="shared" ref="G25" si="4">IF(F25="","",E25*F25)</f>
        <v/>
      </c>
      <c r="I25" s="99">
        <v>0</v>
      </c>
    </row>
    <row r="26" spans="2:9" ht="38.25" x14ac:dyDescent="0.2">
      <c r="B26" s="17" t="s">
        <v>155</v>
      </c>
      <c r="C26" s="18" t="s">
        <v>11</v>
      </c>
      <c r="D26" s="19" t="s">
        <v>322</v>
      </c>
      <c r="E26" s="49">
        <f>156*1.1</f>
        <v>171.60000000000002</v>
      </c>
      <c r="F26" s="102"/>
      <c r="G26" s="20" t="str">
        <f t="shared" ref="G26" si="5">IF(F26="","",E26*F26)</f>
        <v/>
      </c>
      <c r="I26" s="99">
        <v>0</v>
      </c>
    </row>
    <row r="27" spans="2:9" ht="13.5" thickBot="1" x14ac:dyDescent="0.25">
      <c r="I27" s="6"/>
    </row>
    <row r="28" spans="2:9" ht="16.5" thickBot="1" x14ac:dyDescent="0.25">
      <c r="D28" s="25" t="s">
        <v>138</v>
      </c>
      <c r="E28" s="26"/>
      <c r="F28" s="108" t="str">
        <f>IF(SUM(G8:G26)=0,"",SUM(G8:G26))</f>
        <v/>
      </c>
      <c r="G28" s="109"/>
    </row>
  </sheetData>
  <sheetProtection algorithmName="SHA-512" hashValue="QPAdCTXRHY46xkOBM5n5EQI/TPCAKzoHAZpv1+ypfyjQQbDP6voIbNOptPC/li22E7Ok8N6zKH6grkegXdhoIA==" saltValue="jjFBuT2TCM24GsEBFkyXpg==" spinCount="100000" sheet="1" selectLockedCells="1"/>
  <dataConsolidate/>
  <mergeCells count="4">
    <mergeCell ref="F28:G28"/>
    <mergeCell ref="B4:G4"/>
    <mergeCell ref="B6:D6"/>
    <mergeCell ref="B15:D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/>
  <dimension ref="A1:I34"/>
  <sheetViews>
    <sheetView view="pageBreakPreview" zoomScaleNormal="100" zoomScaleSheetLayoutView="100" zoomScalePageLayoutView="120" workbookViewId="0">
      <pane ySplit="2" topLeftCell="A8" activePane="bottomLeft" state="frozen"/>
      <selection activeCell="H28" sqref="H28"/>
      <selection pane="bottomLeft" activeCell="F8" sqref="F8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5703125" style="3" customWidth="1"/>
    <col min="4" max="4" width="43.85546875" style="4" customWidth="1"/>
    <col min="5" max="5" width="9.140625" style="5"/>
    <col min="6" max="6" width="10.28515625" style="5" customWidth="1"/>
    <col min="7" max="7" width="9.7109375" style="5" customWidth="1"/>
    <col min="8" max="8" width="4" style="6" customWidth="1"/>
    <col min="9" max="9" width="6" style="99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42" t="s">
        <v>47</v>
      </c>
      <c r="C2" s="42" t="s">
        <v>52</v>
      </c>
      <c r="D2" s="42" t="s">
        <v>48</v>
      </c>
      <c r="E2" s="43" t="s">
        <v>49</v>
      </c>
      <c r="F2" s="43" t="s">
        <v>50</v>
      </c>
      <c r="G2" s="43" t="s">
        <v>51</v>
      </c>
      <c r="I2" s="100" t="s">
        <v>57</v>
      </c>
    </row>
    <row r="3" spans="1:9" x14ac:dyDescent="0.2">
      <c r="B3" s="44"/>
      <c r="C3" s="44"/>
      <c r="D3" s="45"/>
      <c r="E3" s="46"/>
      <c r="F3" s="46"/>
      <c r="G3" s="46"/>
    </row>
    <row r="4" spans="1:9" ht="15.75" x14ac:dyDescent="0.2">
      <c r="B4" s="110" t="s">
        <v>157</v>
      </c>
      <c r="C4" s="110"/>
      <c r="D4" s="110"/>
      <c r="E4" s="110"/>
      <c r="F4" s="110"/>
      <c r="G4" s="110"/>
    </row>
    <row r="5" spans="1:9" ht="12.75" customHeight="1" x14ac:dyDescent="0.2">
      <c r="B5" s="50"/>
      <c r="E5" s="5" t="str">
        <f>IF(SUM(E8:E8)=0,0,"")</f>
        <v/>
      </c>
      <c r="I5" s="6"/>
    </row>
    <row r="6" spans="1:9" ht="21.2" customHeight="1" x14ac:dyDescent="0.3">
      <c r="B6" s="111" t="s">
        <v>158</v>
      </c>
      <c r="C6" s="112"/>
      <c r="D6" s="112"/>
      <c r="E6" s="15" t="str">
        <f>IF(SUM(E8:E8)=0,0,"")</f>
        <v/>
      </c>
      <c r="F6" s="15"/>
      <c r="G6" s="16"/>
    </row>
    <row r="7" spans="1:9" x14ac:dyDescent="0.2">
      <c r="E7" s="57" t="str">
        <f>IF(SUM(E8:E8)=0,0,"")</f>
        <v/>
      </c>
      <c r="F7" s="57"/>
      <c r="G7" s="57"/>
    </row>
    <row r="8" spans="1:9" ht="51" x14ac:dyDescent="0.2">
      <c r="B8" s="17" t="s">
        <v>159</v>
      </c>
      <c r="C8" s="18" t="s">
        <v>222</v>
      </c>
      <c r="D8" s="19" t="s">
        <v>321</v>
      </c>
      <c r="E8" s="49">
        <v>100</v>
      </c>
      <c r="F8" s="102"/>
      <c r="G8" s="20" t="str">
        <f>IF(F8="","",E8*F8)</f>
        <v/>
      </c>
      <c r="I8" s="99">
        <v>0</v>
      </c>
    </row>
    <row r="9" spans="1:9" ht="12.75" customHeight="1" x14ac:dyDescent="0.2">
      <c r="E9" s="57" t="str">
        <f>IF(SUM(E10:E12)=0,0,"")</f>
        <v/>
      </c>
      <c r="F9" s="57"/>
      <c r="G9" s="57"/>
    </row>
    <row r="10" spans="1:9" ht="21.2" customHeight="1" x14ac:dyDescent="0.3">
      <c r="B10" s="111" t="s">
        <v>160</v>
      </c>
      <c r="C10" s="112"/>
      <c r="D10" s="112"/>
      <c r="E10" s="15" t="str">
        <f>IF(SUM(E12:E12)=0,0,"")</f>
        <v/>
      </c>
      <c r="F10" s="15"/>
      <c r="G10" s="16"/>
    </row>
    <row r="11" spans="1:9" ht="12.75" customHeight="1" x14ac:dyDescent="0.2">
      <c r="E11" s="57" t="str">
        <f>IF(SUM(E12:E12)=0,0,"")</f>
        <v/>
      </c>
      <c r="F11" s="57"/>
      <c r="G11" s="57"/>
    </row>
    <row r="12" spans="1:9" ht="51" x14ac:dyDescent="0.2">
      <c r="B12" s="17" t="s">
        <v>161</v>
      </c>
      <c r="C12" s="18" t="s">
        <v>222</v>
      </c>
      <c r="D12" s="19" t="s">
        <v>320</v>
      </c>
      <c r="E12" s="49">
        <v>100</v>
      </c>
      <c r="F12" s="102"/>
      <c r="G12" s="20" t="str">
        <f t="shared" ref="G12" si="0">IF(F12="","",E12*F12)</f>
        <v/>
      </c>
      <c r="I12" s="99">
        <v>0</v>
      </c>
    </row>
    <row r="13" spans="1:9" ht="12.75" customHeight="1" x14ac:dyDescent="0.2">
      <c r="E13" s="57" t="str">
        <f>IF(SUM(E16:E16)=0,0,"")</f>
        <v/>
      </c>
      <c r="F13" s="57"/>
      <c r="G13" s="57"/>
    </row>
    <row r="14" spans="1:9" ht="21.2" customHeight="1" x14ac:dyDescent="0.3">
      <c r="B14" s="111" t="s">
        <v>162</v>
      </c>
      <c r="C14" s="112"/>
      <c r="D14" s="112"/>
      <c r="E14" s="15" t="str">
        <f>IF(SUM(E16:E16)=0,0,"")</f>
        <v/>
      </c>
      <c r="F14" s="15"/>
      <c r="G14" s="16"/>
    </row>
    <row r="15" spans="1:9" ht="12.75" customHeight="1" x14ac:dyDescent="0.2">
      <c r="E15" s="57" t="str">
        <f>IF(SUM(E16:E16)=0,0,"")</f>
        <v/>
      </c>
      <c r="F15" s="57"/>
      <c r="G15" s="57"/>
    </row>
    <row r="16" spans="1:9" ht="51" x14ac:dyDescent="0.2">
      <c r="B16" s="17" t="s">
        <v>233</v>
      </c>
      <c r="C16" s="18" t="s">
        <v>222</v>
      </c>
      <c r="D16" s="19" t="s">
        <v>319</v>
      </c>
      <c r="E16" s="49">
        <v>20</v>
      </c>
      <c r="F16" s="102"/>
      <c r="G16" s="20" t="str">
        <f t="shared" ref="G16" si="1">IF(F16="","",E16*F16)</f>
        <v/>
      </c>
      <c r="I16" s="6"/>
    </row>
    <row r="17" spans="2:9" x14ac:dyDescent="0.2">
      <c r="E17" s="57" t="str">
        <f>IF(SUM(E18:E20)=0,0,"")</f>
        <v/>
      </c>
      <c r="F17" s="57"/>
      <c r="G17" s="57"/>
    </row>
    <row r="18" spans="2:9" ht="21.2" customHeight="1" x14ac:dyDescent="0.3">
      <c r="B18" s="111" t="s">
        <v>163</v>
      </c>
      <c r="C18" s="112"/>
      <c r="D18" s="112"/>
      <c r="E18" s="15" t="str">
        <f>IF(SUM(E20:E20)=0,0,"")</f>
        <v/>
      </c>
      <c r="F18" s="15"/>
      <c r="G18" s="16"/>
    </row>
    <row r="19" spans="2:9" x14ac:dyDescent="0.2">
      <c r="E19" s="57" t="str">
        <f>IF(SUM(E20:E20)=0,0,"")</f>
        <v/>
      </c>
      <c r="F19" s="57"/>
      <c r="G19" s="57"/>
    </row>
    <row r="20" spans="2:9" ht="51" x14ac:dyDescent="0.2">
      <c r="B20" s="17" t="s">
        <v>164</v>
      </c>
      <c r="C20" s="18" t="s">
        <v>222</v>
      </c>
      <c r="D20" s="19" t="s">
        <v>318</v>
      </c>
      <c r="E20" s="49">
        <v>100</v>
      </c>
      <c r="F20" s="102"/>
      <c r="G20" s="20" t="str">
        <f>IF(F20="","",E20*F20)</f>
        <v/>
      </c>
      <c r="I20" s="99">
        <v>0</v>
      </c>
    </row>
    <row r="21" spans="2:9" x14ac:dyDescent="0.2">
      <c r="E21" s="57" t="str">
        <f>IF(SUM(E24:E24)=0,0,"")</f>
        <v/>
      </c>
      <c r="F21" s="57"/>
      <c r="G21" s="57"/>
    </row>
    <row r="22" spans="2:9" ht="21.2" customHeight="1" x14ac:dyDescent="0.3">
      <c r="B22" s="111" t="s">
        <v>165</v>
      </c>
      <c r="C22" s="112"/>
      <c r="D22" s="112"/>
      <c r="E22" s="15" t="str">
        <f>IF(SUM(E24:E24)=0,0,"")</f>
        <v/>
      </c>
      <c r="F22" s="15"/>
      <c r="G22" s="16"/>
    </row>
    <row r="23" spans="2:9" x14ac:dyDescent="0.2">
      <c r="E23" s="57" t="str">
        <f>IF(SUM(E24:E24)=0,0,"")</f>
        <v/>
      </c>
      <c r="F23" s="57"/>
      <c r="G23" s="57"/>
    </row>
    <row r="24" spans="2:9" ht="51" x14ac:dyDescent="0.2">
      <c r="B24" s="17" t="s">
        <v>166</v>
      </c>
      <c r="C24" s="18" t="s">
        <v>222</v>
      </c>
      <c r="D24" s="19" t="s">
        <v>317</v>
      </c>
      <c r="E24" s="49">
        <v>100</v>
      </c>
      <c r="F24" s="102"/>
      <c r="G24" s="20" t="str">
        <f>IF(F24="","",E24*F24)</f>
        <v/>
      </c>
      <c r="I24" s="99">
        <v>0</v>
      </c>
    </row>
    <row r="25" spans="2:9" ht="12.75" customHeight="1" x14ac:dyDescent="0.2">
      <c r="E25" s="57" t="str">
        <f>IF(SUM(E28:E32)=0,0,"")</f>
        <v/>
      </c>
      <c r="F25" s="57"/>
      <c r="G25" s="57"/>
    </row>
    <row r="26" spans="2:9" ht="21.2" customHeight="1" x14ac:dyDescent="0.3">
      <c r="B26" s="111" t="s">
        <v>167</v>
      </c>
      <c r="C26" s="112"/>
      <c r="D26" s="112"/>
      <c r="E26" s="15" t="str">
        <f>IF(SUM(E28:E32)=0,0,"")</f>
        <v/>
      </c>
      <c r="F26" s="15"/>
      <c r="G26" s="16"/>
    </row>
    <row r="27" spans="2:9" ht="12.75" customHeight="1" x14ac:dyDescent="0.2">
      <c r="E27" s="57" t="str">
        <f>IF(SUM(E28:E32)=0,0,"")</f>
        <v/>
      </c>
      <c r="F27" s="57"/>
      <c r="G27" s="57"/>
    </row>
    <row r="28" spans="2:9" ht="25.5" x14ac:dyDescent="0.2">
      <c r="B28" s="17" t="s">
        <v>168</v>
      </c>
      <c r="C28" s="18" t="s">
        <v>169</v>
      </c>
      <c r="D28" s="19" t="s">
        <v>223</v>
      </c>
      <c r="E28" s="49">
        <v>30</v>
      </c>
      <c r="F28" s="102"/>
      <c r="G28" s="20" t="str">
        <f t="shared" ref="G28:G31" si="2">IF(F28="","",E28*F28)</f>
        <v/>
      </c>
      <c r="I28" s="99">
        <v>125</v>
      </c>
    </row>
    <row r="29" spans="2:9" ht="25.5" x14ac:dyDescent="0.2">
      <c r="B29" s="17" t="s">
        <v>170</v>
      </c>
      <c r="C29" s="18" t="s">
        <v>4</v>
      </c>
      <c r="D29" s="19" t="s">
        <v>227</v>
      </c>
      <c r="E29" s="49">
        <v>1</v>
      </c>
      <c r="F29" s="102"/>
      <c r="G29" s="20" t="str">
        <f t="shared" si="2"/>
        <v/>
      </c>
      <c r="I29" s="99">
        <v>0</v>
      </c>
    </row>
    <row r="30" spans="2:9" ht="25.5" x14ac:dyDescent="0.2">
      <c r="B30" s="17" t="s">
        <v>171</v>
      </c>
      <c r="C30" s="18" t="s">
        <v>169</v>
      </c>
      <c r="D30" s="19" t="s">
        <v>224</v>
      </c>
      <c r="E30" s="49">
        <v>10</v>
      </c>
      <c r="F30" s="102"/>
      <c r="G30" s="20" t="str">
        <f t="shared" si="2"/>
        <v/>
      </c>
      <c r="I30" s="99">
        <v>125</v>
      </c>
    </row>
    <row r="31" spans="2:9" ht="38.25" x14ac:dyDescent="0.2">
      <c r="B31" s="17" t="s">
        <v>246</v>
      </c>
      <c r="C31" s="18" t="s">
        <v>4</v>
      </c>
      <c r="D31" s="19" t="s">
        <v>315</v>
      </c>
      <c r="E31" s="49">
        <v>1</v>
      </c>
      <c r="F31" s="102"/>
      <c r="G31" s="20" t="str">
        <f t="shared" si="2"/>
        <v/>
      </c>
      <c r="I31" s="99">
        <v>0</v>
      </c>
    </row>
    <row r="32" spans="2:9" ht="25.5" x14ac:dyDescent="0.2">
      <c r="B32" s="17" t="s">
        <v>247</v>
      </c>
      <c r="C32" s="18" t="s">
        <v>4</v>
      </c>
      <c r="D32" s="19" t="s">
        <v>316</v>
      </c>
      <c r="E32" s="49">
        <v>1</v>
      </c>
      <c r="F32" s="102"/>
      <c r="G32" s="20" t="str">
        <f t="shared" ref="G32" si="3">IF(F32="","",E32*F32)</f>
        <v/>
      </c>
      <c r="I32" s="99">
        <v>0</v>
      </c>
    </row>
    <row r="33" spans="4:7" ht="12.75" customHeight="1" thickBot="1" x14ac:dyDescent="0.25"/>
    <row r="34" spans="4:7" ht="16.5" thickBot="1" x14ac:dyDescent="0.25">
      <c r="D34" s="25" t="s">
        <v>156</v>
      </c>
      <c r="E34" s="26"/>
      <c r="F34" s="108" t="str">
        <f>IF(SUM(G6:G32)=0,"",SUM(G6:G32))</f>
        <v/>
      </c>
      <c r="G34" s="109"/>
    </row>
  </sheetData>
  <sheetProtection algorithmName="SHA-512" hashValue="7aABoDwAvixT/BZLVsxVAGySmA71KRl0n7CRB6bdBVQ8xVIxK7cEwMbaugUt68Racpz9OikawR8qmEhYmDNFmA==" saltValue="hHHmU0S/gcbsqpaQC94izw==" spinCount="100000" sheet="1" selectLockedCells="1"/>
  <dataConsolidate/>
  <mergeCells count="8">
    <mergeCell ref="B26:D26"/>
    <mergeCell ref="F34:G34"/>
    <mergeCell ref="B10:D10"/>
    <mergeCell ref="B4:G4"/>
    <mergeCell ref="B6:D6"/>
    <mergeCell ref="B14:D14"/>
    <mergeCell ref="B18:D18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48</vt:i4>
      </vt:variant>
    </vt:vector>
  </HeadingPairs>
  <TitlesOfParts>
    <vt:vector size="56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_4.1_Površinsko_odvodnjavanje</vt:lpstr>
      <vt:lpstr>_4.3_Kanalizacija</vt:lpstr>
      <vt:lpstr>_4.4_Jaški</vt:lpstr>
      <vt:lpstr>_5.1_Tesarska_dela</vt:lpstr>
      <vt:lpstr>_5.2_Dela_z_jeklom</vt:lpstr>
      <vt:lpstr>_5.3_Dela_z_cementnim_betonom</vt:lpstr>
      <vt:lpstr>_6.1_Pokončna_oprema_cest</vt:lpstr>
      <vt:lpstr>_6.2_Označbe_na_voziščihž</vt:lpstr>
      <vt:lpstr>_7.2_Elektroenergetski_vodi</vt:lpstr>
      <vt:lpstr>_7.3_Telekomunikacijske_naprave</vt:lpstr>
      <vt:lpstr>_7.5_Javna_razsvetljava</vt:lpstr>
      <vt:lpstr>_7.6_vodovod</vt:lpstr>
      <vt:lpstr>_7.7_Plinovod</vt:lpstr>
      <vt:lpstr>_7.9_Preizkusi_nadzor_dokumentacija</vt:lpstr>
      <vt:lpstr>Čiščenje_terena_1.2</vt:lpstr>
      <vt:lpstr>Geodetska_dela_1.1</vt:lpstr>
      <vt:lpstr>Ostala_preddela_1.3</vt:lpstr>
      <vt:lpstr>'2. ZEMELJSKA DELA'!Področje_tiskanja</vt:lpstr>
      <vt:lpstr>'4. ODVODNJAVANJE'!Področje_tiskanja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Klemen Strle</cp:lastModifiedBy>
  <cp:lastPrinted>2026-01-20T08:08:07Z</cp:lastPrinted>
  <dcterms:created xsi:type="dcterms:W3CDTF">2010-07-30T11:24:43Z</dcterms:created>
  <dcterms:modified xsi:type="dcterms:W3CDTF">2026-01-20T08:51:23Z</dcterms:modified>
</cp:coreProperties>
</file>