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a_delovni_zvezek" defaultThemeVersion="124226"/>
  <mc:AlternateContent xmlns:mc="http://schemas.openxmlformats.org/markup-compatibility/2006">
    <mc:Choice Requires="x15">
      <x15ac:absPath xmlns:x15ac="http://schemas.microsoft.com/office/spreadsheetml/2010/11/ac" url="S:\Projekti\2025\2351 ČERINOVA ULICA\06 PZI\2.1 NAČRT GRADBENIŠTVA\01 TEKST\05 POPIS\"/>
    </mc:Choice>
  </mc:AlternateContent>
  <xr:revisionPtr revIDLastSave="0" documentId="13_ncr:1_{CCC77ADB-CC2B-4FF3-A618-5C87445FAFFA}" xr6:coauthVersionLast="47" xr6:coauthVersionMax="47" xr10:uidLastSave="{00000000-0000-0000-0000-000000000000}"/>
  <bookViews>
    <workbookView xWindow="28680" yWindow="-120" windowWidth="29040" windowHeight="15720" tabRatio="878" xr2:uid="{00000000-000D-0000-FFFF-FFFF00000000}"/>
  </bookViews>
  <sheets>
    <sheet name="REKAPITULACIJA" sheetId="1" r:id="rId1"/>
    <sheet name="1. PREDDELA" sheetId="2" r:id="rId2"/>
    <sheet name="2. ZEMELJSKA DELA" sheetId="4" r:id="rId3"/>
    <sheet name="3. VOZIŠČNE KONSTRUKCIJE" sheetId="5" r:id="rId4"/>
    <sheet name="4. ODVODNJAVANJE" sheetId="6" r:id="rId5"/>
    <sheet name="5. GRADBENA IN OBRTNIŠKA DELA" sheetId="7" r:id="rId6"/>
    <sheet name="6. OPREMA CEST" sheetId="8" r:id="rId7"/>
    <sheet name="7. TUJE STORITVE" sheetId="9" r:id="rId8"/>
  </sheets>
  <definedNames>
    <definedName name="_1.1_Geodetska_dela">'1. PREDDELA'!$B$6</definedName>
    <definedName name="_1.2_Čiščenje_terena">'1. PREDDELA'!$B$13</definedName>
    <definedName name="_1.3_Ostala_preddela">'1. PREDDELA'!$B$53</definedName>
    <definedName name="_1.4_Predhodna_dela">'1. PREDDELA'!#REF!</definedName>
    <definedName name="_1.5_Geotehnika_predorov">'1. PREDDELA'!#REF!</definedName>
    <definedName name="_1_preddela_1" localSheetId="1">'1. PREDDELA'!$B$2:$F$69</definedName>
    <definedName name="_1_preddela_1" localSheetId="2">'2. ZEMELJSKA DELA'!$B$2:$F$43</definedName>
    <definedName name="_1_preddela_1" localSheetId="3">'3. VOZIŠČNE KONSTRUKCIJE'!$B$2:$F$61</definedName>
    <definedName name="_1_preddela_1" localSheetId="4">'4. ODVODNJAVANJE'!$B$2:$F$43</definedName>
    <definedName name="_1_preddela_1" localSheetId="5">'5. GRADBENA IN OBRTNIŠKA DELA'!$B$2:$F$17</definedName>
    <definedName name="_1_preddela_1" localSheetId="6">'6. OPREMA CEST'!$B$2:$F$55</definedName>
    <definedName name="_1_preddela_1" localSheetId="7">'7. TUJE STORITVE'!$B$2:$F$35</definedName>
    <definedName name="_2.1_Izkopi">'2. ZEMELJSKA DELA'!$B$6</definedName>
    <definedName name="_2.2_Planum_tal">'2. ZEMELJSKA DELA'!$B$15</definedName>
    <definedName name="_2.3_ločilne_drenažne_filterske_plasti">'2. ZEMELJSKA DELA'!$B$19</definedName>
    <definedName name="_2.4_Nasipi_zasipi_posteljica">'2. ZEMELJSKA DELA'!$B$23</definedName>
    <definedName name="_2.5_Brežine_zelenice">'2. ZEMELJSKA DELA'!$B$29</definedName>
    <definedName name="_2.6_Armiranje_zemljin">'2. ZEMELJSKA DELA'!#REF!</definedName>
    <definedName name="_2.7_Koli_vodnjaki">'2. ZEMELJSKA DELA'!#REF!</definedName>
    <definedName name="_2.8_Zagatne_stene">'2. ZEMELJSKA DELA'!#REF!</definedName>
    <definedName name="_2.9_prevozi_razprostiranje_materiala">'2. ZEMELJSKA DELA'!$B$35</definedName>
    <definedName name="_3.1_Nosilne_plasti">'3. VOZIŠČNE KONSTRUKCIJE'!$B$6</definedName>
    <definedName name="_3.2_Obrabne_plasti">'3. VOZIŠČNE KONSTRUKCIJE'!$B$17</definedName>
    <definedName name="_3.3_Vezane_nosilne_in_obrabne_plasti">'3. VOZIŠČNE KONSTRUKCIJE'!#REF!</definedName>
    <definedName name="_3.4_Tlakovane_obrabne_plasti">'3. VOZIŠČNE KONSTRUKCIJE'!$B$39</definedName>
    <definedName name="_3.5_Robni_elementi_vozišč">'3. VOZIŠČNE KONSTRUKCIJE'!$B$45</definedName>
    <definedName name="_4.1_Površinsko_odvodnjavanje">'4. ODVODNJAVANJE'!$B$6</definedName>
    <definedName name="_4.2_Drenaže">'4. ODVODNJAVANJE'!#REF!</definedName>
    <definedName name="_4.3_Kanalizacija">'4. ODVODNJAVANJE'!$B$21</definedName>
    <definedName name="_4.4_Jaški">'4. ODVODNJAVANJE'!$B$33</definedName>
    <definedName name="_4.5_Prepusti">'4. ODVODNJAVANJE'!#REF!</definedName>
    <definedName name="_4.6_Izviri_ponikovalnice">'4. ODVODNJAVANJE'!#REF!</definedName>
    <definedName name="_5.1_Tesarska_dela">'5. GRADBENA IN OBRTNIŠKA DELA'!#REF!</definedName>
    <definedName name="_5.2_Dela_z_jeklom">'5. GRADBENA IN OBRTNIŠKA DELA'!$B$6</definedName>
    <definedName name="_5.3_Dela_z_cementnim_betonom">'5. GRADBENA IN OBRTNIŠKA DELA'!#REF!</definedName>
    <definedName name="_5.4_Zidarska_dela">'5. GRADBENA IN OBRTNIŠKA DELA'!#REF!</definedName>
    <definedName name="_5.5_Popravila_objektov">'5. GRADBENA IN OBRTNIŠKA DELA'!$B$12</definedName>
    <definedName name="_5.6_Sidranje">'5. GRADBENA IN OBRTNIŠKA DELA'!#REF!</definedName>
    <definedName name="_5.7_Injektiranje">'5. GRADBENA IN OBRTNIŠKA DELA'!#REF!</definedName>
    <definedName name="_5.8_Ključavničarska_dela">'5. GRADBENA IN OBRTNIŠKA DELA'!#REF!</definedName>
    <definedName name="_5.9_Zaščitna_dela">'5. GRADBENA IN OBRTNIŠKA DELA'!#REF!</definedName>
    <definedName name="_6.1_Pokončna_oprema_cest">'6. OPREMA CEST'!$B$6</definedName>
    <definedName name="_6.2_Označbe_na_voziščihž">'6. OPREMA CEST'!$B$16</definedName>
    <definedName name="_6.3_Oprema_za_vodenje_prometa">'6. OPREMA CEST'!$B$40</definedName>
    <definedName name="_6.4_Oprema_za_zavarovanje_prometa">'6. OPREMA CEST'!$B$44</definedName>
    <definedName name="_6.5_Oprema_za_zimsko_službo">'6. OPREMA CEST'!#REF!</definedName>
    <definedName name="_6.6_Druga_prometna_oprema_cest">'6. OPREMA CEST'!$B$48</definedName>
    <definedName name="_7.2_Elektroenergetski_vodi">'7. TUJE STORITVE'!$B$6</definedName>
    <definedName name="_7.3_Telekomunikacijske_naprave">'7. TUJE STORITVE'!$B$10</definedName>
    <definedName name="_7.4_klic_v_sili">'7. TUJE STORITVE'!#REF!</definedName>
    <definedName name="_7.5_Javna_razsvetljava">'7. TUJE STORITVE'!$B$14</definedName>
    <definedName name="_7.6_vodovod">'7. TUJE STORITVE'!$B$18</definedName>
    <definedName name="_7.7_Plinovod">'7. TUJE STORITVE'!$B$22</definedName>
    <definedName name="_7.8_Železnica">'7. TUJE STORITVE'!#REF!</definedName>
    <definedName name="_7.9_Preizkusi_nadzor_dokumentacija">'7. TUJE STORITVE'!$B$27</definedName>
    <definedName name="_xlnm._FilterDatabase" localSheetId="1" hidden="1">'1. PREDDELA'!$E$1:$G$69</definedName>
    <definedName name="_xlnm._FilterDatabase" localSheetId="2" hidden="1">'2. ZEMELJSKA DELA'!$E$1:$G$43</definedName>
    <definedName name="_xlnm._FilterDatabase" localSheetId="3" hidden="1">'3. VOZIŠČNE KONSTRUKCIJE'!$E$1:$G$61</definedName>
    <definedName name="_xlnm._FilterDatabase" localSheetId="4" hidden="1">'4. ODVODNJAVANJE'!$E$1:$G$43</definedName>
    <definedName name="_xlnm._FilterDatabase" localSheetId="5" hidden="1">'5. GRADBENA IN OBRTNIŠKA DELA'!$E$1:$G$17</definedName>
    <definedName name="_xlnm._FilterDatabase" localSheetId="6" hidden="1">'6. OPREMA CEST'!$E$1:$G$55</definedName>
    <definedName name="_xlnm._FilterDatabase" localSheetId="7" hidden="1">'7. TUJE STORITVE'!$E$1:$G$35</definedName>
    <definedName name="Čiščenje_terena_1.2">'1. PREDDELA'!$B$13</definedName>
    <definedName name="Geodetska_dela_1.1">'1. PREDDELA'!$B$6</definedName>
    <definedName name="iri_ponikovalnice">'4. ODVODNJAVANJE'!#REF!</definedName>
    <definedName name="Ostala_preddela_1.3">'1. PREDDELA'!$B$53</definedName>
    <definedName name="_xlnm.Print_Area" localSheetId="2">'2. ZEMELJSKA DELA'!$A$1:$G$43</definedName>
    <definedName name="_xlnm.Print_Area" localSheetId="3">'3. VOZIŠČNE KONSTRUKCIJE'!$A$1:$G$61</definedName>
    <definedName name="_xlnm.Print_Area" localSheetId="4">'4. ODVODNJAVANJE'!$A$1:$G$43</definedName>
    <definedName name="_xlnm.Print_Area" localSheetId="5">'5. GRADBENA IN OBRTNIŠKA DELA'!$A$1:$G$17</definedName>
    <definedName name="_xlnm.Print_Area" localSheetId="0">REKAPITULACIJA!$A$1:$I$36</definedName>
    <definedName name="Predhodna_dela_1.4">'1. PREDDELA'!#REF!</definedName>
    <definedName name="_xlnm.Print_Titles" localSheetId="1">'1. PREDDELA'!$1:$3</definedName>
    <definedName name="_xlnm.Print_Titles" localSheetId="2">'2. ZEMELJSKA DELA'!$1:$3</definedName>
    <definedName name="_xlnm.Print_Titles" localSheetId="3">'3. VOZIŠČNE KONSTRUKCIJE'!$1:$3</definedName>
    <definedName name="_xlnm.Print_Titles" localSheetId="4">'4. ODVODNJAVANJE'!$1:$3</definedName>
    <definedName name="_xlnm.Print_Titles" localSheetId="5">'5. GRADBENA IN OBRTNIŠKA DELA'!$1:$3</definedName>
    <definedName name="_xlnm.Print_Titles" localSheetId="6">'6. OPREMA CEST'!$1:$3</definedName>
    <definedName name="_xlnm.Print_Titles" localSheetId="7">'7. TUJE STORITVE'!$1:$3</definedName>
    <definedName name="za_zavarovanje_prometa">'6. OPREMA CEST'!$B$44</definedName>
  </definedNames>
  <calcPr calcId="181029"/>
</workbook>
</file>

<file path=xl/calcChain.xml><?xml version="1.0" encoding="utf-8"?>
<calcChain xmlns="http://schemas.openxmlformats.org/spreadsheetml/2006/main">
  <c r="E35" i="6" l="1"/>
  <c r="E31" i="6"/>
  <c r="E26" i="6"/>
  <c r="E27" i="6" s="1"/>
  <c r="E25" i="6"/>
  <c r="E50" i="5"/>
  <c r="E41" i="4"/>
  <c r="E11" i="4"/>
  <c r="E13" i="4"/>
  <c r="K24" i="6" l="1"/>
  <c r="K23" i="6"/>
  <c r="E29" i="6"/>
  <c r="G30" i="6"/>
  <c r="G15" i="7"/>
  <c r="G13" i="6"/>
  <c r="E19" i="6"/>
  <c r="G11" i="6"/>
  <c r="E10" i="6" l="1"/>
  <c r="E8" i="6"/>
  <c r="G10" i="7"/>
  <c r="G9" i="7"/>
  <c r="G8" i="7"/>
  <c r="E38" i="8"/>
  <c r="E32" i="8"/>
  <c r="E20" i="8"/>
  <c r="E35" i="8"/>
  <c r="E34" i="8"/>
  <c r="E30" i="8" l="1"/>
  <c r="G30" i="8"/>
  <c r="E28" i="8"/>
  <c r="G28" i="8" s="1"/>
  <c r="E26" i="8"/>
  <c r="E19" i="8" l="1"/>
  <c r="E23" i="8"/>
  <c r="E18" i="8"/>
  <c r="E21" i="8"/>
  <c r="E36" i="8"/>
  <c r="E22" i="8"/>
  <c r="E29" i="8"/>
  <c r="E27" i="8"/>
  <c r="E33" i="8"/>
  <c r="G14" i="8"/>
  <c r="G25" i="9"/>
  <c r="E37" i="8"/>
  <c r="E12" i="6"/>
  <c r="G12" i="6" s="1"/>
  <c r="G10" i="6"/>
  <c r="G9" i="6"/>
  <c r="G8" i="6"/>
  <c r="E49" i="2" l="1"/>
  <c r="E49" i="5"/>
  <c r="E59" i="5" l="1"/>
  <c r="E15" i="5"/>
  <c r="E14" i="5"/>
  <c r="K42" i="5" l="1"/>
  <c r="K41" i="5"/>
  <c r="E27" i="5"/>
  <c r="E21" i="5"/>
  <c r="E9" i="5"/>
  <c r="E10" i="5" l="1"/>
  <c r="E22" i="5"/>
  <c r="G29" i="6" l="1"/>
  <c r="E11" i="2" l="1"/>
  <c r="E27" i="4" l="1"/>
  <c r="E26" i="4"/>
  <c r="E17" i="4"/>
  <c r="E9" i="4"/>
  <c r="E8" i="4"/>
  <c r="E47" i="2"/>
  <c r="E48" i="2"/>
  <c r="G33" i="4"/>
  <c r="G20" i="2"/>
  <c r="E43" i="2"/>
  <c r="E42" i="2"/>
  <c r="E40" i="2"/>
  <c r="E41" i="2"/>
  <c r="E39" i="2"/>
  <c r="E34" i="2"/>
  <c r="E33" i="2"/>
  <c r="E32" i="2"/>
  <c r="G62" i="2"/>
  <c r="E27" i="2" l="1"/>
  <c r="E24" i="2"/>
  <c r="E28" i="2"/>
  <c r="G28" i="2" s="1"/>
  <c r="G51" i="2"/>
  <c r="E26" i="2"/>
  <c r="E10" i="2" l="1"/>
  <c r="E8" i="2"/>
  <c r="G31" i="6" l="1"/>
  <c r="E36" i="6" l="1"/>
  <c r="E21" i="4" l="1"/>
  <c r="E12" i="4" l="1"/>
  <c r="E10" i="4"/>
  <c r="E25" i="4" l="1"/>
  <c r="E39" i="4"/>
  <c r="E36" i="2"/>
  <c r="E40" i="4" l="1"/>
  <c r="E43" i="8"/>
  <c r="E45" i="8"/>
  <c r="E44" i="8"/>
  <c r="G38" i="8" l="1"/>
  <c r="G37" i="8"/>
  <c r="G36" i="8"/>
  <c r="G35" i="8"/>
  <c r="G34" i="8"/>
  <c r="G33" i="8"/>
  <c r="G32" i="8"/>
  <c r="G31" i="8"/>
  <c r="G29" i="8"/>
  <c r="G27" i="8"/>
  <c r="G26" i="8"/>
  <c r="G25" i="8"/>
  <c r="G24" i="8"/>
  <c r="G23" i="8"/>
  <c r="G22" i="8"/>
  <c r="G21" i="8"/>
  <c r="G20" i="8"/>
  <c r="G19" i="8"/>
  <c r="G18" i="8"/>
  <c r="G32" i="9" l="1"/>
  <c r="G33" i="9" l="1"/>
  <c r="G17" i="6" l="1"/>
  <c r="G41" i="5" l="1"/>
  <c r="G38" i="6" l="1"/>
  <c r="E47" i="8" l="1"/>
  <c r="E48" i="8"/>
  <c r="E49" i="8"/>
  <c r="G51" i="8" l="1"/>
  <c r="G50" i="8"/>
  <c r="G52" i="8"/>
  <c r="E15" i="9" l="1"/>
  <c r="E13" i="9"/>
  <c r="E29" i="5" l="1"/>
  <c r="E38" i="2" l="1"/>
  <c r="E40" i="5"/>
  <c r="E39" i="5"/>
  <c r="E38" i="5"/>
  <c r="G14" i="7" l="1"/>
  <c r="E15" i="6" l="1"/>
  <c r="E37" i="2" l="1"/>
  <c r="E38" i="4" s="1"/>
  <c r="E37" i="4" s="1"/>
  <c r="G28" i="6" l="1"/>
  <c r="E28" i="5"/>
  <c r="E7" i="9" l="1"/>
  <c r="E5" i="9"/>
  <c r="E32" i="4"/>
  <c r="G26" i="2" l="1"/>
  <c r="E5" i="4" l="1"/>
  <c r="E11" i="9" l="1"/>
  <c r="E10" i="9"/>
  <c r="E9" i="9" l="1"/>
  <c r="G23" i="5"/>
  <c r="E14" i="9" l="1"/>
  <c r="G46" i="8" l="1"/>
  <c r="E9" i="2"/>
  <c r="G16" i="9" l="1"/>
  <c r="G43" i="5" l="1"/>
  <c r="E6" i="6" l="1"/>
  <c r="E5" i="6"/>
  <c r="E7" i="6"/>
  <c r="G19" i="6"/>
  <c r="G18" i="6"/>
  <c r="G16" i="6"/>
  <c r="G15" i="6"/>
  <c r="G14" i="6"/>
  <c r="G53" i="8"/>
  <c r="G41" i="6"/>
  <c r="G58" i="2" l="1"/>
  <c r="G29" i="9" l="1"/>
  <c r="G30" i="9"/>
  <c r="G31" i="9"/>
  <c r="G24" i="9"/>
  <c r="G20" i="9"/>
  <c r="G12" i="9"/>
  <c r="G8" i="9"/>
  <c r="G42" i="8"/>
  <c r="G8" i="8"/>
  <c r="G9" i="8"/>
  <c r="G10" i="8"/>
  <c r="G11" i="8"/>
  <c r="G12" i="8"/>
  <c r="G13" i="8"/>
  <c r="G37" i="4"/>
  <c r="G38" i="4"/>
  <c r="G39" i="4"/>
  <c r="G40" i="4"/>
  <c r="G41" i="4"/>
  <c r="G35" i="6"/>
  <c r="G36" i="6"/>
  <c r="G37" i="6"/>
  <c r="G39" i="6"/>
  <c r="G40" i="6"/>
  <c r="G23" i="6"/>
  <c r="G24" i="6"/>
  <c r="G25" i="6"/>
  <c r="G26" i="6"/>
  <c r="G27" i="6"/>
  <c r="G59" i="5"/>
  <c r="G55" i="5"/>
  <c r="G50" i="5"/>
  <c r="G51" i="5"/>
  <c r="G49" i="5"/>
  <c r="G42" i="5"/>
  <c r="G37" i="5"/>
  <c r="G33" i="5"/>
  <c r="G27" i="5"/>
  <c r="G28" i="5"/>
  <c r="G29" i="5"/>
  <c r="G21" i="5"/>
  <c r="G22" i="5"/>
  <c r="G14" i="5"/>
  <c r="G15" i="5"/>
  <c r="G9" i="5"/>
  <c r="G10" i="5"/>
  <c r="G31" i="4"/>
  <c r="G32" i="4"/>
  <c r="G25" i="4"/>
  <c r="G26" i="4"/>
  <c r="G27" i="4"/>
  <c r="G21" i="4"/>
  <c r="G17" i="4"/>
  <c r="G8" i="4"/>
  <c r="G9" i="4"/>
  <c r="G10" i="4"/>
  <c r="G11" i="4"/>
  <c r="G12" i="4"/>
  <c r="G13" i="4"/>
  <c r="G67" i="2"/>
  <c r="G66" i="2"/>
  <c r="G61" i="2"/>
  <c r="G56" i="2"/>
  <c r="G57" i="2"/>
  <c r="G47" i="2"/>
  <c r="G48" i="2"/>
  <c r="G49" i="2"/>
  <c r="G50" i="2"/>
  <c r="G32" i="2"/>
  <c r="G33" i="2"/>
  <c r="G34" i="2"/>
  <c r="G35" i="2"/>
  <c r="G36" i="2"/>
  <c r="G37" i="2"/>
  <c r="G38" i="2"/>
  <c r="G39" i="2"/>
  <c r="G40" i="2"/>
  <c r="G41" i="2"/>
  <c r="G42" i="2"/>
  <c r="G43" i="2"/>
  <c r="G25" i="2"/>
  <c r="G27" i="2"/>
  <c r="G24" i="2"/>
  <c r="G16" i="2"/>
  <c r="G17" i="2"/>
  <c r="G18" i="2"/>
  <c r="G19" i="2"/>
  <c r="G8" i="2"/>
  <c r="G9" i="2"/>
  <c r="G10" i="2"/>
  <c r="G11" i="2"/>
  <c r="E28" i="9"/>
  <c r="E27" i="9"/>
  <c r="E26" i="9"/>
  <c r="E23" i="9"/>
  <c r="E22" i="9"/>
  <c r="E21" i="9"/>
  <c r="E19" i="9"/>
  <c r="E18" i="9"/>
  <c r="E6" i="9"/>
  <c r="E41" i="8"/>
  <c r="E40" i="8"/>
  <c r="E39" i="8"/>
  <c r="E17" i="8"/>
  <c r="E16" i="8"/>
  <c r="E15" i="8"/>
  <c r="E7" i="8"/>
  <c r="E6" i="8"/>
  <c r="E5" i="8"/>
  <c r="E13" i="7"/>
  <c r="E12" i="7"/>
  <c r="E11" i="7"/>
  <c r="E58" i="5"/>
  <c r="E57" i="5"/>
  <c r="E56" i="5"/>
  <c r="E54" i="5"/>
  <c r="E53" i="5"/>
  <c r="E52" i="5"/>
  <c r="E36" i="5"/>
  <c r="E35" i="5"/>
  <c r="E34" i="5"/>
  <c r="E32" i="5"/>
  <c r="E31" i="5"/>
  <c r="E30" i="5"/>
  <c r="E26" i="5"/>
  <c r="E25" i="5"/>
  <c r="E24" i="5"/>
  <c r="E20" i="5"/>
  <c r="E19" i="5"/>
  <c r="E18" i="5"/>
  <c r="E13" i="5"/>
  <c r="E12" i="5"/>
  <c r="E8" i="5"/>
  <c r="E7" i="5"/>
  <c r="E30" i="4"/>
  <c r="E29" i="4"/>
  <c r="E28" i="4"/>
  <c r="E24" i="4"/>
  <c r="E23" i="4"/>
  <c r="E20" i="4"/>
  <c r="E19" i="4"/>
  <c r="E18" i="4"/>
  <c r="E15" i="4"/>
  <c r="E14" i="4"/>
  <c r="E7" i="4"/>
  <c r="E6" i="4"/>
  <c r="E65" i="2"/>
  <c r="E64" i="2"/>
  <c r="E63" i="2"/>
  <c r="E60" i="2"/>
  <c r="E59" i="2"/>
  <c r="E55" i="2"/>
  <c r="E54" i="2"/>
  <c r="E46" i="2"/>
  <c r="E44" i="2"/>
  <c r="E45" i="2"/>
  <c r="E31" i="2"/>
  <c r="E30" i="2"/>
  <c r="E29" i="2"/>
  <c r="E21" i="2"/>
  <c r="E22" i="2"/>
  <c r="E23" i="2"/>
  <c r="E15" i="2"/>
  <c r="E14" i="2"/>
  <c r="E7" i="2"/>
  <c r="E6" i="2"/>
  <c r="E5" i="2"/>
  <c r="E17" i="9" l="1"/>
  <c r="E12" i="2"/>
  <c r="E13" i="2"/>
  <c r="F55" i="8" l="1"/>
  <c r="H24" i="1" s="1"/>
  <c r="F43" i="6"/>
  <c r="F43" i="4"/>
  <c r="H16" i="1" s="1"/>
  <c r="F17" i="7" l="1"/>
  <c r="H22" i="1" s="1"/>
  <c r="F61" i="5"/>
  <c r="H18" i="1" s="1"/>
  <c r="F69" i="2"/>
  <c r="H14" i="1" s="1"/>
  <c r="H20" i="1"/>
  <c r="F35" i="9" l="1"/>
  <c r="H26" i="1" s="1"/>
  <c r="H28" i="1" s="1"/>
  <c r="H31" i="1" l="1"/>
  <c r="H33" i="1" s="1"/>
  <c r="H36" i="1" s="1"/>
  <c r="E6" i="7"/>
  <c r="E5" i="7"/>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1_preddela" type="6" refreshedVersion="3" background="1" saveData="1">
    <textPr codePage="65000" sourceFile="C:\Documents and Settings\student\Desktop\1_preddela.txt" decimal="," thousands=".">
      <textFields count="3">
        <textField type="text"/>
        <textField/>
        <textField/>
      </textFields>
    </textPr>
  </connection>
  <connection id="2" xr16:uid="{00000000-0015-0000-FFFF-FFFF01000000}" name="1_preddela1" type="6" refreshedVersion="3" background="1" saveData="1">
    <textPr codePage="65000" sourceFile="C:\Documents and Settings\student\Desktop\1_preddela.txt" decimal="," thousands=".">
      <textFields count="3">
        <textField type="text"/>
        <textField/>
        <textField/>
      </textFields>
    </textPr>
  </connection>
  <connection id="3" xr16:uid="{00000000-0015-0000-FFFF-FFFF02000000}" name="1_preddela11" type="6" refreshedVersion="3" background="1" saveData="1">
    <textPr codePage="65000" sourceFile="C:\Documents and Settings\student\Desktop\1_preddela.txt" decimal="," thousands=".">
      <textFields count="3">
        <textField type="text"/>
        <textField/>
        <textField/>
      </textFields>
    </textPr>
  </connection>
  <connection id="4" xr16:uid="{00000000-0015-0000-FFFF-FFFF03000000}" name="1_preddela12" type="6" refreshedVersion="3" background="1" saveData="1">
    <textPr codePage="65000" sourceFile="C:\Documents and Settings\student\Desktop\1_preddela.txt" decimal="," thousands=".">
      <textFields count="3">
        <textField type="text"/>
        <textField/>
        <textField/>
      </textFields>
    </textPr>
  </connection>
  <connection id="5" xr16:uid="{00000000-0015-0000-FFFF-FFFF04000000}" name="1_preddela121" type="6" refreshedVersion="3" background="1" saveData="1">
    <textPr codePage="65000" sourceFile="C:\Documents and Settings\student\Desktop\1_preddela.txt" decimal="," thousands=".">
      <textFields count="3">
        <textField type="text"/>
        <textField/>
        <textField/>
      </textFields>
    </textPr>
  </connection>
  <connection id="6" xr16:uid="{00000000-0015-0000-FFFF-FFFF05000000}" name="1_preddela2" type="6" refreshedVersion="3" background="1" saveData="1">
    <textPr codePage="65000" sourceFile="C:\Documents and Settings\student\Desktop\1_preddela.txt" decimal="," thousands=".">
      <textFields count="3">
        <textField type="text"/>
        <textField/>
        <textField/>
      </textFields>
    </textPr>
  </connection>
  <connection id="7" xr16:uid="{00000000-0015-0000-FFFF-FFFF06000000}" name="1_preddela3" type="6" refreshedVersion="3" background="1" saveData="1">
    <textPr codePage="65000" sourceFile="C:\Documents and Settings\student\Desktop\1_preddela.txt" decimal="," thousands=".">
      <textFields count="3">
        <textField type="text"/>
        <textField/>
        <textField/>
      </textFields>
    </textPr>
  </connection>
</connections>
</file>

<file path=xl/sharedStrings.xml><?xml version="1.0" encoding="utf-8"?>
<sst xmlns="http://schemas.openxmlformats.org/spreadsheetml/2006/main" count="592" uniqueCount="406">
  <si>
    <t>1.   PREDDELA</t>
  </si>
  <si>
    <t>km</t>
  </si>
  <si>
    <t>11 121</t>
  </si>
  <si>
    <t>11 131</t>
  </si>
  <si>
    <t>kos</t>
  </si>
  <si>
    <t>11 221</t>
  </si>
  <si>
    <t>11 631</t>
  </si>
  <si>
    <t>ura</t>
  </si>
  <si>
    <t>m2</t>
  </si>
  <si>
    <t>12 112</t>
  </si>
  <si>
    <t>12 151</t>
  </si>
  <si>
    <t>12 163</t>
  </si>
  <si>
    <t>12 211</t>
  </si>
  <si>
    <t>12 231</t>
  </si>
  <si>
    <t>m1</t>
  </si>
  <si>
    <t>m3</t>
  </si>
  <si>
    <t>12 297</t>
  </si>
  <si>
    <t>12 321</t>
  </si>
  <si>
    <t>12 322</t>
  </si>
  <si>
    <t>12 323</t>
  </si>
  <si>
    <t>12 351</t>
  </si>
  <si>
    <t>12 371</t>
  </si>
  <si>
    <t>12 372</t>
  </si>
  <si>
    <t>12 373</t>
  </si>
  <si>
    <t>12 381</t>
  </si>
  <si>
    <t>12 382</t>
  </si>
  <si>
    <t>12 383</t>
  </si>
  <si>
    <t>12 391</t>
  </si>
  <si>
    <t>12 393</t>
  </si>
  <si>
    <t>12 426</t>
  </si>
  <si>
    <t>12 431</t>
  </si>
  <si>
    <t>12 495</t>
  </si>
  <si>
    <t>12 498</t>
  </si>
  <si>
    <t>dan</t>
  </si>
  <si>
    <t>13 112</t>
  </si>
  <si>
    <t>13 113</t>
  </si>
  <si>
    <t>13 211</t>
  </si>
  <si>
    <t>13 311</t>
  </si>
  <si>
    <t>13 312</t>
  </si>
  <si>
    <t>1.1 Geodetska dela</t>
  </si>
  <si>
    <t>1.2  Čiščenje terena</t>
  </si>
  <si>
    <t>1.2.1 Odstranitev grmovja, dreves, vej in panjev</t>
  </si>
  <si>
    <t>1.2.2 Odstranitev prometne signalizacije in opreme</t>
  </si>
  <si>
    <t>1.2.3 Porušitev in odstranitev voziščnih konstrukcij</t>
  </si>
  <si>
    <t>1.2.4 Porušitev in odstranitev objektov</t>
  </si>
  <si>
    <t>1.3 Ostala preddela</t>
  </si>
  <si>
    <t>1.3.1 Omejitve prometa</t>
  </si>
  <si>
    <t>1.3.2 Pripravljalna dela pri objektih</t>
  </si>
  <si>
    <t>1.3.3 Začasni objekti</t>
  </si>
  <si>
    <t>šifra</t>
  </si>
  <si>
    <t>opis dela</t>
  </si>
  <si>
    <t>količina</t>
  </si>
  <si>
    <t>cena</t>
  </si>
  <si>
    <t>znesek</t>
  </si>
  <si>
    <t>enota</t>
  </si>
  <si>
    <t>REKAPITULACIJA  GRADBENIH STROŠKOV</t>
  </si>
  <si>
    <t>skupaj</t>
  </si>
  <si>
    <t xml:space="preserve">S K U P A J                    </t>
  </si>
  <si>
    <t xml:space="preserve">vrednosti v postavkah množi  s faktorjem </t>
  </si>
  <si>
    <t>TUKAJ VNESI CENE!!!</t>
  </si>
  <si>
    <t xml:space="preserve">Odstranitev grmovja na redko porasli površini (do 50 % pokritega tlorisa) - strojno
</t>
  </si>
  <si>
    <t xml:space="preserve">Posek in odstranitev drevesa z deblom premera 11 do 30 cm ter odstranitev vej
</t>
  </si>
  <si>
    <t xml:space="preserve">Porušitev in odstranitev robnika iz cementnega betona
</t>
  </si>
  <si>
    <t xml:space="preserve">Zavarovanje gradbišča v času gradnje s polovično zaporo prometa in ročnim usmerjanjem 
</t>
  </si>
  <si>
    <t>SKUPAJ PREDDELA:</t>
  </si>
  <si>
    <t>2.   ZEMELJSKA DELA</t>
  </si>
  <si>
    <t>21 114</t>
  </si>
  <si>
    <t>2.2  Planum temeljnih tal</t>
  </si>
  <si>
    <t>21 224</t>
  </si>
  <si>
    <t>21 313</t>
  </si>
  <si>
    <t>21 314</t>
  </si>
  <si>
    <t>21 323</t>
  </si>
  <si>
    <t>21 324</t>
  </si>
  <si>
    <t>22 112</t>
  </si>
  <si>
    <t>23 313</t>
  </si>
  <si>
    <t>24 112</t>
  </si>
  <si>
    <t>24 461</t>
  </si>
  <si>
    <t>24 612</t>
  </si>
  <si>
    <t>25 112</t>
  </si>
  <si>
    <t>25 151</t>
  </si>
  <si>
    <t>25 189</t>
  </si>
  <si>
    <t>t</t>
  </si>
  <si>
    <t>29 121</t>
  </si>
  <si>
    <t>29 151</t>
  </si>
  <si>
    <t>29 152</t>
  </si>
  <si>
    <t>29 153</t>
  </si>
  <si>
    <t>29 154</t>
  </si>
  <si>
    <t>SKUPAJ ZEMELJSKA DELA:</t>
  </si>
  <si>
    <t xml:space="preserve">Površinski izkop plodne zemljine – 1. kategorije – strojno z nakladanjem
</t>
  </si>
  <si>
    <t xml:space="preserve">Izkop vezljive zemljine/zrnate kamnine – 3. kategorije za temelje, kanalske rove, prepuste, jaške in drenaže, širine do 1,0 m in globine do 1,0 m – strojno, planiranje dna ročno
</t>
  </si>
  <si>
    <t xml:space="preserve">Izkop vezljive zemljine/zrnate kamnine – 3. kategorije za temelje, kanalske rove, prepuste, jaške in drenaže, širine do 1,0 m in globine 1,1 do 2,0 m – ročno, planiranje dna ročno
</t>
  </si>
  <si>
    <t xml:space="preserve">Izkop vezljive zemljine/zrnate kamnine – 3. kategorije za temelje, kanalske rove, prepuste, jaške in drenaže, širine do 1,0 m in globine 1,1 do 2,0 m – strojno, planiranje dna ročno
</t>
  </si>
  <si>
    <t xml:space="preserve">Ureditev planuma temeljnih tal vezljive zemljine – 3. kategorije
</t>
  </si>
  <si>
    <t xml:space="preserve">Dobava in vgraditev geotekstilije za ločilno plast (po načrtu), natezna trdnost nad 14 do 16 kN/m2
</t>
  </si>
  <si>
    <t xml:space="preserve">Izdelava posteljice v debelini plasti do 50 cm iz zrnate kamnine – 3. kategorije
</t>
  </si>
  <si>
    <t xml:space="preserve">Ureditev planuma nasipa, zasipa, klina ali posteljice iz zrnate kamnine – 3. kategorije
</t>
  </si>
  <si>
    <t>2.1  Izkopi</t>
  </si>
  <si>
    <t>2.3  Ločilne, drenažne in filtrske plasti ter delovni plato</t>
  </si>
  <si>
    <t>2.4  Nasipi, zasipi, klini, posteljica in glinasti naboj</t>
  </si>
  <si>
    <t>2.5  Brežine in zelenice</t>
  </si>
  <si>
    <t>2.9  Prevozi, razprostiranje in ureditev deponij materiala</t>
  </si>
  <si>
    <t>3.   VOZIŠČNE KONSTRUKCIJE</t>
  </si>
  <si>
    <t>3.1.1 Nevezane nosilne plasti</t>
  </si>
  <si>
    <t>4.   ODVODNJAVANJE</t>
  </si>
  <si>
    <t>4.1  Površinsko odvodnjavanje</t>
  </si>
  <si>
    <t>4.3  Globinsko odvodnjavanje - kanalizacija</t>
  </si>
  <si>
    <t>43 231</t>
  </si>
  <si>
    <t>43 232</t>
  </si>
  <si>
    <t>43 272</t>
  </si>
  <si>
    <t>43 831</t>
  </si>
  <si>
    <t>43 841</t>
  </si>
  <si>
    <t>4.4  Jaški</t>
  </si>
  <si>
    <t>44 333</t>
  </si>
  <si>
    <t>44 797</t>
  </si>
  <si>
    <t>44 973</t>
  </si>
  <si>
    <t>44 977</t>
  </si>
  <si>
    <t>44 992</t>
  </si>
  <si>
    <t>5.   GRADBENA IN OBRTNIŠKA DELA</t>
  </si>
  <si>
    <t>5.2  Dela z jeklom za ojačitev</t>
  </si>
  <si>
    <t>52 111</t>
  </si>
  <si>
    <t>52 112</t>
  </si>
  <si>
    <t>5.5  Dela pri popravilu objektov</t>
  </si>
  <si>
    <t>SKUPAJ GRADBENA IN OBRTNIŠKA DELA:</t>
  </si>
  <si>
    <t>SKUPAJ ODVODNJAVANJE:</t>
  </si>
  <si>
    <t>SKUPAJ VOZIŠČNE KONSTRUKCIJE:</t>
  </si>
  <si>
    <t>3.1  Nosilne plasti</t>
  </si>
  <si>
    <t>SKUPAJ OPREMA CEST:</t>
  </si>
  <si>
    <t>6.   OPREMA CEST</t>
  </si>
  <si>
    <t>6.1  Pokončna oprema cest</t>
  </si>
  <si>
    <t>61 217</t>
  </si>
  <si>
    <t>61 612</t>
  </si>
  <si>
    <t>61 622</t>
  </si>
  <si>
    <t>61 712</t>
  </si>
  <si>
    <t>61 713</t>
  </si>
  <si>
    <t>61 714</t>
  </si>
  <si>
    <t>6.2  Označbe na voziščih</t>
  </si>
  <si>
    <t>62 111</t>
  </si>
  <si>
    <t>62 113</t>
  </si>
  <si>
    <t>62 116</t>
  </si>
  <si>
    <t>62 163</t>
  </si>
  <si>
    <t>62 211</t>
  </si>
  <si>
    <t>62 212</t>
  </si>
  <si>
    <t>62 215</t>
  </si>
  <si>
    <t>62 221</t>
  </si>
  <si>
    <t>62 222</t>
  </si>
  <si>
    <t>62 223</t>
  </si>
  <si>
    <t>62 224</t>
  </si>
  <si>
    <t>62 253</t>
  </si>
  <si>
    <t>62 412</t>
  </si>
  <si>
    <t>62 414</t>
  </si>
  <si>
    <t>62 425</t>
  </si>
  <si>
    <t>62 426</t>
  </si>
  <si>
    <t>62 428</t>
  </si>
  <si>
    <t>62 472</t>
  </si>
  <si>
    <t>62 623</t>
  </si>
  <si>
    <t>6.3  Oprema za vodenje prometa</t>
  </si>
  <si>
    <t>63 571</t>
  </si>
  <si>
    <t>6.4  Oprema za zavarovanje prometa</t>
  </si>
  <si>
    <t>6.6  Druga prometna oprema cest</t>
  </si>
  <si>
    <t>SKUPAJ TUJE STORITVE:</t>
  </si>
  <si>
    <t>7.   TUJE STORITVE</t>
  </si>
  <si>
    <t>7.2  Elektroenergetski vodi</t>
  </si>
  <si>
    <t>72 111</t>
  </si>
  <si>
    <t>7.3  Telekomunikacijske naprave</t>
  </si>
  <si>
    <t>73 131</t>
  </si>
  <si>
    <t>7.5  Javna razsvetljava</t>
  </si>
  <si>
    <t>7.6  Vodovodi</t>
  </si>
  <si>
    <t>76 111</t>
  </si>
  <si>
    <t>7.7  Plinovodi</t>
  </si>
  <si>
    <t>77 111</t>
  </si>
  <si>
    <t>7.9  Preizkusi, nadzor in tehnična dokumentacija</t>
  </si>
  <si>
    <t>79 311</t>
  </si>
  <si>
    <t>ur</t>
  </si>
  <si>
    <t>79 321</t>
  </si>
  <si>
    <t>79 351</t>
  </si>
  <si>
    <t>31 132</t>
  </si>
  <si>
    <t>31 181</t>
  </si>
  <si>
    <t>3.1.4-6 Asfaltne nosilne plasti - Asphalt concrete - base (AC base)</t>
  </si>
  <si>
    <t>31 552</t>
  </si>
  <si>
    <t>31 554</t>
  </si>
  <si>
    <t>3.2  Obrabne plasti</t>
  </si>
  <si>
    <t>3.2.2 Asfaltne obrabne in zaporne plasti - bitumenski betoni - Asphalt concrete - surface (AC surf)</t>
  </si>
  <si>
    <t>32 254</t>
  </si>
  <si>
    <t>32 274</t>
  </si>
  <si>
    <t>3.2.4 Asfaltne obrabne in zaporne plasti - površinske prevleke - Surface dressing (SD)</t>
  </si>
  <si>
    <t>32 491</t>
  </si>
  <si>
    <t>32 497</t>
  </si>
  <si>
    <t>32 498</t>
  </si>
  <si>
    <t>3.2.5 Vezane asfaltne obrabne plasti – drenažni asfalti</t>
  </si>
  <si>
    <t>32 523</t>
  </si>
  <si>
    <t>3.2.7 Asfaltne obrabne in zaporne plasti - tankoplastne prevleke - Slurry surfacing (SS)</t>
  </si>
  <si>
    <t>3.4  Tlakovane obrabne plasti</t>
  </si>
  <si>
    <t>3.5  Robni elementi vozišč</t>
  </si>
  <si>
    <t>3.5.2 Robniki</t>
  </si>
  <si>
    <t>3.5.3 Obrobe</t>
  </si>
  <si>
    <t>35 211</t>
  </si>
  <si>
    <t>35 214</t>
  </si>
  <si>
    <t>35 235</t>
  </si>
  <si>
    <t>35 313</t>
  </si>
  <si>
    <t>3.6  Bankine</t>
  </si>
  <si>
    <t>36 111</t>
  </si>
  <si>
    <t>1.    PREDDELA</t>
  </si>
  <si>
    <t>2.    ZEMELJSKA DELA</t>
  </si>
  <si>
    <t>3.    VOZIŠČNE KONSTRUKCIJE</t>
  </si>
  <si>
    <t>4.    ODVODNJAVANJE</t>
  </si>
  <si>
    <t>5.    GRADBENA IN OBRTNIŠKA DELA</t>
  </si>
  <si>
    <t>6.    OPREMA CEST</t>
  </si>
  <si>
    <t>7.    TUJE STORITVE</t>
  </si>
  <si>
    <t xml:space="preserve">Izdelava izravnalne plasti iz drobljenca v povprečni debelini do 5 cm
</t>
  </si>
  <si>
    <t xml:space="preserve">Pobrizg s polimerno bitumensko emulzijo 0,31 do 0,50 kg/m2
</t>
  </si>
  <si>
    <t xml:space="preserve">Dobava in vgraditev predfabriciranega dvignjenega robnika iz cementnega betona s prerezom 15/25 cm
</t>
  </si>
  <si>
    <t xml:space="preserve">Dobava in vgraditev predfabriciranega pogreznjenega robnika iz cementnega betona s prerezom 15/25 cm
</t>
  </si>
  <si>
    <t xml:space="preserve">Izdelava bankine iz gramoza ali naravno zdrobljenega kamnitega materiala, široke do 0,50 m
</t>
  </si>
  <si>
    <t>13 142</t>
  </si>
  <si>
    <t xml:space="preserve">Izdelava elaborata začasne prometne ureditve
</t>
  </si>
  <si>
    <t xml:space="preserve">Višinsko prilagajanje kap obstoječe komunalne infrastrukture
</t>
  </si>
  <si>
    <t>22 % DDV</t>
  </si>
  <si>
    <t>32 762</t>
  </si>
  <si>
    <t>12 298</t>
  </si>
  <si>
    <t xml:space="preserve">Porušitev in odstranitev stebrička in temelja prometnega znaka
</t>
  </si>
  <si>
    <t xml:space="preserve">Odlaganje odpadne zmesi zemljine in kamnine, vključno s plačilom komunalne takse
</t>
  </si>
  <si>
    <t xml:space="preserve">Odlaganje odpadnega asfalta na komunalno deponijo, vključno s plačilom komunalne takse
</t>
  </si>
  <si>
    <t>Objekt :</t>
  </si>
  <si>
    <t>Del objekta :</t>
  </si>
  <si>
    <t>Številka načrta :</t>
  </si>
  <si>
    <t xml:space="preserve">Preložitev oz. višinska prilagoditev tlakovcev
</t>
  </si>
  <si>
    <t xml:space="preserve">Čiščenje utrjene/odrezkane površine/podlage pred pobrizgom z bitumenskim vezivom
</t>
  </si>
  <si>
    <t>43 851</t>
  </si>
  <si>
    <t>44 996</t>
  </si>
  <si>
    <t xml:space="preserve">Doplačilo za zatravitev s semenom
</t>
  </si>
  <si>
    <t xml:space="preserve">Prevoz materiala na razdaljo nad 10 do 15 km
</t>
  </si>
  <si>
    <t xml:space="preserve">Zaščita stikov s "teksabit trakom"
</t>
  </si>
  <si>
    <t>Zavarovanje gradbišča v času gradnje s popolno zaporo prometa</t>
  </si>
  <si>
    <t>m1
ocena</t>
  </si>
  <si>
    <t xml:space="preserve">Projektantski nadzor
</t>
  </si>
  <si>
    <t xml:space="preserve">Geotehnični nadzor
</t>
  </si>
  <si>
    <t>61 181</t>
  </si>
  <si>
    <t>62 168a</t>
  </si>
  <si>
    <t xml:space="preserve">Arheološki nadzor 
</t>
  </si>
  <si>
    <t xml:space="preserve">Porušitev in odstranitev obrobe iz granitnih kock
</t>
  </si>
  <si>
    <t>12 182</t>
  </si>
  <si>
    <t xml:space="preserve">Posek in odstranitev vej obstoječih dreves in grmovji
</t>
  </si>
  <si>
    <t xml:space="preserve">Porušitev in odstranitev žive meje
</t>
  </si>
  <si>
    <t>75 711</t>
  </si>
  <si>
    <t>43 853</t>
  </si>
  <si>
    <t>43 854</t>
  </si>
  <si>
    <t xml:space="preserve">Višinsko prilagajanje (do 50 cm) obstoječega jaška komunalne infrastrukture iz cementnega betona, po detajlu iz načrta, krožnega prereza s premerom 60 do 100 cm ali kvadratnega prereza do 100/100 cm
</t>
  </si>
  <si>
    <t>66 921</t>
  </si>
  <si>
    <t xml:space="preserve">Dobava in montaža elektronskega prikazovalnika v nadstrešnici avtobusnega čakališča
</t>
  </si>
  <si>
    <t xml:space="preserve">Izdelava napisa s podatki o avtobusnem čakališču v "Braillovi pisavi" za slepe
</t>
  </si>
  <si>
    <t>64 012</t>
  </si>
  <si>
    <t>41 651</t>
  </si>
  <si>
    <t>41 652</t>
  </si>
  <si>
    <t>41 653</t>
  </si>
  <si>
    <t>41 654</t>
  </si>
  <si>
    <t>41 655</t>
  </si>
  <si>
    <t>44 978</t>
  </si>
  <si>
    <t>34 931</t>
  </si>
  <si>
    <t>34 921</t>
  </si>
  <si>
    <t>34 923</t>
  </si>
  <si>
    <t>66 923</t>
  </si>
  <si>
    <t>66 924</t>
  </si>
  <si>
    <t>41 656</t>
  </si>
  <si>
    <t xml:space="preserve">Prevoz in odlaganje odpadne zmesi zemljine in kamnine ali asfaltnega rezkanca/drobljenca na deponijo izvajalca v neposredni bližini gradbišča do ponovne vgradnje
</t>
  </si>
  <si>
    <t>79 516</t>
  </si>
  <si>
    <t>79 517</t>
  </si>
  <si>
    <r>
      <t>Rezanje asfaltne plasti s talno diamantno žago, debele 11 do 15 cm
(</t>
    </r>
    <r>
      <rPr>
        <i/>
        <sz val="10"/>
        <color theme="1"/>
        <rFont val="Arial Narrow"/>
        <family val="2"/>
        <charset val="238"/>
      </rPr>
      <t>vozišče</t>
    </r>
    <r>
      <rPr>
        <sz val="10"/>
        <color theme="1"/>
        <rFont val="Arial Narrow"/>
        <family val="2"/>
        <charset val="238"/>
      </rPr>
      <t>)</t>
    </r>
  </si>
  <si>
    <r>
      <t>Rezanje asfaltne plasti s talno diamantno žago, debele do 5 cm
(</t>
    </r>
    <r>
      <rPr>
        <i/>
        <sz val="10"/>
        <color theme="1"/>
        <rFont val="Arial Narrow"/>
        <family val="2"/>
        <charset val="238"/>
      </rPr>
      <t>pločnik</t>
    </r>
    <r>
      <rPr>
        <sz val="10"/>
        <color theme="1"/>
        <rFont val="Arial Narrow"/>
        <family val="2"/>
        <charset val="238"/>
      </rPr>
      <t xml:space="preserve">)
</t>
    </r>
  </si>
  <si>
    <r>
      <t>Rezkanje in odvoz asfaltne krovne plasti v debelini do 3 cm 
(</t>
    </r>
    <r>
      <rPr>
        <i/>
        <sz val="10"/>
        <color theme="1"/>
        <rFont val="Arial Narrow"/>
        <family val="2"/>
        <charset val="238"/>
      </rPr>
      <t>pločnik</t>
    </r>
    <r>
      <rPr>
        <sz val="10"/>
        <color theme="1"/>
        <rFont val="Arial Narrow"/>
        <family val="2"/>
        <charset val="238"/>
      </rPr>
      <t xml:space="preserve">)
</t>
    </r>
  </si>
  <si>
    <r>
      <t>Rezkanje in odvoz asfaltne krovne plasti v debelini 8 do 10 cm 
(</t>
    </r>
    <r>
      <rPr>
        <i/>
        <sz val="10"/>
        <color theme="1"/>
        <rFont val="Arial Narrow"/>
        <family val="2"/>
        <charset val="238"/>
      </rPr>
      <t>vozišče</t>
    </r>
    <r>
      <rPr>
        <sz val="10"/>
        <color theme="1"/>
        <rFont val="Arial Narrow"/>
        <family val="2"/>
        <charset val="238"/>
      </rPr>
      <t xml:space="preserve">)
</t>
    </r>
  </si>
  <si>
    <t xml:space="preserve">Porušitev in odstranitev kanalizacije in požiralniških navezav iz obbetoniranih cevi s premerom do 40 cm
</t>
  </si>
  <si>
    <t xml:space="preserve">Porušitev in odstranitev vtočnega jaška (požiralnik) z notranjo stranico/premerom do 60 cm
</t>
  </si>
  <si>
    <t>Široki izkop vezljive zemljine – 3. kategorije – strojno z nakladanjem</t>
  </si>
  <si>
    <t xml:space="preserve">Humuziranje brežine in zelenice brez valjanja, v debelini do 20 cm - strojno
</t>
  </si>
  <si>
    <r>
      <t>Rezanje asfaltne plasti s talno diamantno žago, debele 6 do 10 cm
(</t>
    </r>
    <r>
      <rPr>
        <i/>
        <sz val="10"/>
        <color theme="1"/>
        <rFont val="Arial Narrow"/>
        <family val="2"/>
        <charset val="238"/>
      </rPr>
      <t>uvozi, dvorišča</t>
    </r>
    <r>
      <rPr>
        <sz val="10"/>
        <color theme="1"/>
        <rFont val="Arial Narrow"/>
        <family val="2"/>
        <charset val="238"/>
      </rPr>
      <t>)</t>
    </r>
  </si>
  <si>
    <r>
      <t>Rezkanje in odvoz asfaltne krovne plasti v debelini 4 do 7 cm 
(</t>
    </r>
    <r>
      <rPr>
        <i/>
        <sz val="10"/>
        <color theme="1"/>
        <rFont val="Arial Narrow"/>
        <family val="2"/>
        <charset val="238"/>
      </rPr>
      <t>uvozi, dvorišča</t>
    </r>
    <r>
      <rPr>
        <sz val="10"/>
        <color theme="1"/>
        <rFont val="Arial Narrow"/>
        <family val="2"/>
        <charset val="238"/>
      </rPr>
      <t xml:space="preserve">)
</t>
    </r>
  </si>
  <si>
    <t>2351-25</t>
  </si>
  <si>
    <t>Ureditev lokalne zbirne ceste, LZ 212261 "Čerinova ulica", od ul. 7. septembra do Ježice</t>
  </si>
  <si>
    <t xml:space="preserve">Demontaža in odstranitev prometnega znaka na enem podstavku
</t>
  </si>
  <si>
    <t xml:space="preserve">Pripravljalna dela
</t>
  </si>
  <si>
    <t xml:space="preserve">Organizacija gradbišča – odstranitev začasnih objektov
</t>
  </si>
  <si>
    <t xml:space="preserve">Organizacija gradbišča – postavitev začasnih objektov
</t>
  </si>
  <si>
    <r>
      <t xml:space="preserve">Porušitev in odstranitev obstoječe linijske rešetke na uvozih
</t>
    </r>
    <r>
      <rPr>
        <i/>
        <sz val="10"/>
        <color theme="1"/>
        <rFont val="Arial Narrow"/>
        <family val="2"/>
        <charset val="238"/>
      </rPr>
      <t>(vključno z odvozom na deponijo)</t>
    </r>
    <r>
      <rPr>
        <sz val="10"/>
        <color theme="1"/>
        <rFont val="Arial Narrow"/>
        <family val="2"/>
        <charset val="238"/>
      </rPr>
      <t xml:space="preserve">
</t>
    </r>
  </si>
  <si>
    <t xml:space="preserve">Obnova in zavarovanje zakoličbe osi trase ostale javne ceste v ravninskem terenu
</t>
  </si>
  <si>
    <t xml:space="preserve">Obnova in zavarovanje zakoličbe trase komunalnih vodov v ravninskem terenu
</t>
  </si>
  <si>
    <t xml:space="preserve">Postavitev in zavarovanje prečnega profila ostale javne ceste v ravninskem terenu
</t>
  </si>
  <si>
    <r>
      <t>Posnetek višine in položaja točke na terenu/objektu
(</t>
    </r>
    <r>
      <rPr>
        <i/>
        <sz val="10"/>
        <color theme="1"/>
        <rFont val="Arial Narrow"/>
        <family val="2"/>
        <charset val="238"/>
      </rPr>
      <t>zakoličba</t>
    </r>
    <r>
      <rPr>
        <sz val="10"/>
        <color theme="1"/>
        <rFont val="Arial Narrow"/>
        <family val="2"/>
        <charset val="238"/>
      </rPr>
      <t xml:space="preserve">)
</t>
    </r>
  </si>
  <si>
    <r>
      <t>Porušitev in odstranitev asfaltne plasti v debelini do 5 cm
(</t>
    </r>
    <r>
      <rPr>
        <i/>
        <sz val="10"/>
        <color theme="1"/>
        <rFont val="Arial Narrow"/>
        <family val="2"/>
        <charset val="238"/>
      </rPr>
      <t>pločnik</t>
    </r>
    <r>
      <rPr>
        <sz val="10"/>
        <color theme="1"/>
        <rFont val="Arial Narrow"/>
        <family val="2"/>
        <charset val="238"/>
      </rPr>
      <t xml:space="preserve">)
</t>
    </r>
  </si>
  <si>
    <r>
      <t>Porušitev in odstranitev asfaltne plasti v debelini 6 do 10 cm
(</t>
    </r>
    <r>
      <rPr>
        <i/>
        <sz val="10"/>
        <color theme="1"/>
        <rFont val="Arial Narrow"/>
        <family val="2"/>
        <charset val="238"/>
      </rPr>
      <t>uvozi, dvorišča</t>
    </r>
    <r>
      <rPr>
        <sz val="10"/>
        <color theme="1"/>
        <rFont val="Arial Narrow"/>
        <family val="2"/>
        <charset val="238"/>
      </rPr>
      <t xml:space="preserve">)
</t>
    </r>
  </si>
  <si>
    <r>
      <t>Porušitev in odstranitev asfaltne plasti v debelini nad 10 cm
(</t>
    </r>
    <r>
      <rPr>
        <i/>
        <sz val="10"/>
        <color theme="1"/>
        <rFont val="Arial Narrow"/>
        <family val="2"/>
        <charset val="238"/>
      </rPr>
      <t>vozišče</t>
    </r>
    <r>
      <rPr>
        <sz val="10"/>
        <color theme="1"/>
        <rFont val="Arial Narrow"/>
        <family val="2"/>
        <charset val="238"/>
      </rPr>
      <t xml:space="preserve">)
</t>
    </r>
  </si>
  <si>
    <t>Odlaganje odpadnega cementnega betona na komunalno deponijo (odvoz robnikov, kock, tlakovcev, jaškov, kanalizacijskih cevi, …)</t>
  </si>
  <si>
    <t xml:space="preserve">Izkop vezljive zemljine/zrnate kamnine – 3. kategorije za temelje, kanalske rove, prepuste, jaške in drenaže, širine do 1,0 m in globine do 1,0 m – ročno, planiranje dna ročno
</t>
  </si>
  <si>
    <r>
      <t xml:space="preserve">Izdelava nevezane nosilne plasti enakomerno zrnatega drobljenca iz kamnine v debelini 30 cm  
</t>
    </r>
    <r>
      <rPr>
        <i/>
        <sz val="10"/>
        <rFont val="Arial Narrow"/>
        <family val="2"/>
        <charset val="238"/>
      </rPr>
      <t>(pločnik, vozišče, uvozi, dvorišča)</t>
    </r>
    <r>
      <rPr>
        <sz val="10"/>
        <rFont val="Arial Narrow"/>
        <family val="2"/>
        <charset val="238"/>
      </rPr>
      <t xml:space="preserve">
</t>
    </r>
  </si>
  <si>
    <t xml:space="preserve">Dobava in vgraditev predfabriciranega dvignjenega robnika iz cementnega betona s prerezom 8/20 cm
</t>
  </si>
  <si>
    <r>
      <t xml:space="preserve">Dobava in vgraditev </t>
    </r>
    <r>
      <rPr>
        <i/>
        <sz val="10"/>
        <color theme="1"/>
        <rFont val="Arial Narrow"/>
        <family val="2"/>
        <charset val="238"/>
      </rPr>
      <t>ravne LTŽ rešetke</t>
    </r>
    <r>
      <rPr>
        <sz val="10"/>
        <color theme="1"/>
        <rFont val="Arial Narrow"/>
        <family val="2"/>
        <charset val="238"/>
      </rPr>
      <t xml:space="preserve"> z nosilnostjo </t>
    </r>
    <r>
      <rPr>
        <i/>
        <sz val="10"/>
        <color theme="1"/>
        <rFont val="Arial Narrow"/>
        <family val="2"/>
        <charset val="238"/>
      </rPr>
      <t>400 kN</t>
    </r>
    <r>
      <rPr>
        <sz val="10"/>
        <color theme="1"/>
        <rFont val="Arial Narrow"/>
        <family val="2"/>
        <charset val="238"/>
      </rPr>
      <t xml:space="preserve">, 
s prerezom </t>
    </r>
    <r>
      <rPr>
        <i/>
        <sz val="10"/>
        <color theme="1"/>
        <rFont val="Arial Narrow"/>
        <family val="2"/>
        <charset val="238"/>
      </rPr>
      <t>400/400 mm</t>
    </r>
    <r>
      <rPr>
        <sz val="10"/>
        <color theme="1"/>
        <rFont val="Arial Narrow"/>
        <family val="2"/>
        <charset val="238"/>
      </rPr>
      <t xml:space="preserve"> (</t>
    </r>
    <r>
      <rPr>
        <i/>
        <sz val="10"/>
        <color theme="1"/>
        <rFont val="Arial Narrow"/>
        <family val="2"/>
        <charset val="238"/>
      </rPr>
      <t>vtočni jaški na vozišču</t>
    </r>
    <r>
      <rPr>
        <sz val="10"/>
        <color theme="1"/>
        <rFont val="Arial Narrow"/>
        <family val="2"/>
        <charset val="238"/>
      </rPr>
      <t xml:space="preserve">)
</t>
    </r>
  </si>
  <si>
    <r>
      <t xml:space="preserve">Dobava in vgraditev </t>
    </r>
    <r>
      <rPr>
        <i/>
        <sz val="10"/>
        <color theme="1"/>
        <rFont val="Arial Narrow"/>
        <family val="2"/>
        <charset val="238"/>
      </rPr>
      <t>robniške LTŽ rešetke</t>
    </r>
    <r>
      <rPr>
        <sz val="10"/>
        <color theme="1"/>
        <rFont val="Arial Narrow"/>
        <family val="2"/>
        <charset val="238"/>
      </rPr>
      <t xml:space="preserve"> z nosilnostjo 
</t>
    </r>
    <r>
      <rPr>
        <i/>
        <sz val="10"/>
        <color theme="1"/>
        <rFont val="Arial Narrow"/>
        <family val="2"/>
        <charset val="238"/>
      </rPr>
      <t>400 kN</t>
    </r>
    <r>
      <rPr>
        <sz val="10"/>
        <color theme="1"/>
        <rFont val="Arial Narrow"/>
        <family val="2"/>
        <charset val="238"/>
      </rPr>
      <t xml:space="preserve">, s prerezom </t>
    </r>
    <r>
      <rPr>
        <i/>
        <sz val="10"/>
        <color theme="1"/>
        <rFont val="Arial Narrow"/>
        <family val="2"/>
        <charset val="238"/>
      </rPr>
      <t>400/400 mm</t>
    </r>
    <r>
      <rPr>
        <sz val="10"/>
        <color theme="1"/>
        <rFont val="Arial Narrow"/>
        <family val="2"/>
        <charset val="238"/>
      </rPr>
      <t xml:space="preserve"> (</t>
    </r>
    <r>
      <rPr>
        <i/>
        <sz val="10"/>
        <color theme="1"/>
        <rFont val="Arial Narrow"/>
        <family val="2"/>
        <charset val="238"/>
      </rPr>
      <t>vtočni jaški ob vozišču</t>
    </r>
    <r>
      <rPr>
        <sz val="10"/>
        <color theme="1"/>
        <rFont val="Arial Narrow"/>
        <family val="2"/>
        <charset val="238"/>
      </rPr>
      <t xml:space="preserve">)
</t>
    </r>
  </si>
  <si>
    <r>
      <t>Izdelava jaška iz polietilena, krožnega prereza s premerom 50 cm, globokega 1,5 do 2,0 m, vključno z vrtanjem odprtin in izdelavo AB venca
(</t>
    </r>
    <r>
      <rPr>
        <i/>
        <sz val="10"/>
        <rFont val="Arial Narrow"/>
        <family val="2"/>
        <charset val="238"/>
      </rPr>
      <t>vtočni jašek s peskolovom</t>
    </r>
    <r>
      <rPr>
        <sz val="10"/>
        <rFont val="Arial Narrow"/>
        <family val="2"/>
        <charset val="238"/>
      </rPr>
      <t xml:space="preserve">)
</t>
    </r>
  </si>
  <si>
    <r>
      <t xml:space="preserve">Izdelava priklopa </t>
    </r>
    <r>
      <rPr>
        <i/>
        <sz val="10"/>
        <rFont val="Arial Narrow"/>
        <family val="2"/>
        <charset val="238"/>
      </rPr>
      <t>vtočnega jaška ali linijskega požiralnika</t>
    </r>
    <r>
      <rPr>
        <sz val="10"/>
        <rFont val="Arial Narrow"/>
        <family val="2"/>
        <charset val="238"/>
      </rPr>
      <t xml:space="preserve"> na predviden </t>
    </r>
    <r>
      <rPr>
        <i/>
        <sz val="10"/>
        <rFont val="Arial Narrow"/>
        <family val="2"/>
        <charset val="238"/>
      </rPr>
      <t>vtočni/revizijski jašek</t>
    </r>
    <r>
      <rPr>
        <sz val="10"/>
        <rFont val="Arial Narrow"/>
        <family val="2"/>
        <charset val="238"/>
      </rPr>
      <t xml:space="preserve">, vključno z vrtanjem odprtin in vsem inštalacijskim materialom in tesnili za priklop
</t>
    </r>
  </si>
  <si>
    <r>
      <t xml:space="preserve">Pregled vgrajenih cevi s </t>
    </r>
    <r>
      <rPr>
        <i/>
        <sz val="10"/>
        <color theme="1"/>
        <rFont val="Arial Narrow"/>
        <family val="2"/>
        <charset val="238"/>
      </rPr>
      <t>TV kamero
*snemanje kanala po standardu SIST EN 13508-2:2003 in skladno z nemškimi smernicami ATV-M 143-2</t>
    </r>
    <r>
      <rPr>
        <sz val="10"/>
        <color theme="1"/>
        <rFont val="Arial Narrow"/>
        <family val="2"/>
        <charset val="238"/>
      </rPr>
      <t xml:space="preserve">
</t>
    </r>
  </si>
  <si>
    <r>
      <t xml:space="preserve">Preskus tesnosti cevi premera do DN200 mm
</t>
    </r>
    <r>
      <rPr>
        <i/>
        <sz val="10"/>
        <color theme="1"/>
        <rFont val="Arial Narrow"/>
        <family val="2"/>
        <charset val="238"/>
      </rPr>
      <t>*tlačni preizkus vodotesnosti položenih kanalizacijskih cevi po navodilih proizvajalca. Preizkus tesnosti se izvede z zrakom po standardu EN 1610</t>
    </r>
    <r>
      <rPr>
        <sz val="10"/>
        <color theme="1"/>
        <rFont val="Arial Narrow"/>
        <family val="2"/>
        <charset val="238"/>
      </rPr>
      <t xml:space="preserve">
</t>
    </r>
  </si>
  <si>
    <r>
      <t xml:space="preserve">Obbetoniranje cevi za kanalizacijo s cementnim betonom C 8/10, po detajlu iz načrta, premera do DN200 mm
</t>
    </r>
    <r>
      <rPr>
        <i/>
        <sz val="10"/>
        <color theme="1"/>
        <rFont val="Arial Narrow"/>
        <family val="2"/>
        <charset val="238"/>
      </rPr>
      <t xml:space="preserve">(Izdelava povezave in priklopa vtočnih jaškov in priklop linijskih kanalet-pod voziščem)
</t>
    </r>
  </si>
  <si>
    <r>
      <t xml:space="preserve">Izdelava kanalizacije iz cevi iz polivinilklorida, vključno s podložno plastjo iz cementnega betona, premera DN200 mm, 
v globini do 1,0 m
</t>
    </r>
    <r>
      <rPr>
        <i/>
        <sz val="10"/>
        <color theme="1"/>
        <rFont val="Arial Narrow"/>
        <family val="2"/>
        <charset val="238"/>
      </rPr>
      <t>(Izdelava navezave vtočnih jaškov-pod voziščem)</t>
    </r>
    <r>
      <rPr>
        <sz val="10"/>
        <color theme="1"/>
        <rFont val="Arial Narrow"/>
        <family val="2"/>
        <charset val="238"/>
      </rPr>
      <t xml:space="preserve">
</t>
    </r>
  </si>
  <si>
    <r>
      <t>Izdelava kanalizacije iz cevi iz polivinilklorida, vključno s podložno plastjo iz cementnega betona, premera DN160, 
v globini do 1,0 m
 (</t>
    </r>
    <r>
      <rPr>
        <i/>
        <sz val="10"/>
        <color theme="1"/>
        <rFont val="Arial Narrow"/>
        <family val="2"/>
        <charset val="238"/>
      </rPr>
      <t>Izdelava navezave vtočnih jaškov-pod voziščem)</t>
    </r>
    <r>
      <rPr>
        <sz val="10"/>
        <color theme="1"/>
        <rFont val="Arial Narrow"/>
        <family val="2"/>
        <charset val="238"/>
      </rPr>
      <t xml:space="preserve">
</t>
    </r>
  </si>
  <si>
    <r>
      <t xml:space="preserve">Prevoz in prenos kanalizacijskih cevi do mesta vgraditve
</t>
    </r>
    <r>
      <rPr>
        <i/>
        <sz val="10"/>
        <rFont val="Arial Narrow"/>
        <family val="2"/>
        <charset val="238"/>
      </rPr>
      <t>*GRP in PVC cevi</t>
    </r>
    <r>
      <rPr>
        <sz val="10"/>
        <rFont val="Arial Narrow"/>
        <family val="2"/>
        <charset val="238"/>
      </rPr>
      <t xml:space="preserve">
</t>
    </r>
  </si>
  <si>
    <t>43 855</t>
  </si>
  <si>
    <t xml:space="preserve">Izdelava priklopa vtočnega jaška na glavni meteorni kanal z vpadnikom ali direktnim vtokom (pod kotom 45 stopinj)
</t>
  </si>
  <si>
    <r>
      <t xml:space="preserve">Dobava in vgradnja </t>
    </r>
    <r>
      <rPr>
        <i/>
        <sz val="10"/>
        <color theme="1"/>
        <rFont val="Arial Narrow"/>
        <family val="2"/>
        <charset val="238"/>
      </rPr>
      <t xml:space="preserve">linijskega požiralnika iz polimernega betona </t>
    </r>
    <r>
      <rPr>
        <sz val="10"/>
        <color theme="1"/>
        <rFont val="Arial Narrow"/>
        <family val="2"/>
        <charset val="238"/>
      </rPr>
      <t xml:space="preserve">svetle širine </t>
    </r>
    <r>
      <rPr>
        <i/>
        <sz val="10"/>
        <color theme="1"/>
        <rFont val="Arial Narrow"/>
        <family val="2"/>
        <charset val="238"/>
      </rPr>
      <t>200 mm</t>
    </r>
    <r>
      <rPr>
        <sz val="10"/>
        <color theme="1"/>
        <rFont val="Arial Narrow"/>
        <family val="2"/>
        <charset val="238"/>
      </rPr>
      <t xml:space="preserve"> z </t>
    </r>
    <r>
      <rPr>
        <i/>
        <sz val="10"/>
        <color theme="1"/>
        <rFont val="Arial Narrow"/>
        <family val="2"/>
        <charset val="238"/>
      </rPr>
      <t>litoželeznim robom</t>
    </r>
    <r>
      <rPr>
        <sz val="10"/>
        <color theme="1"/>
        <rFont val="Arial Narrow"/>
        <family val="2"/>
        <charset val="238"/>
      </rPr>
      <t xml:space="preserve">, gradbene višine 30 cm zunanja širina 235 mm, dolžina 1000 mm. Kanal se izvede s polaganjem na podložni beton debeline 15 cm, ter bočnim obbetoniranjem kanalete. Zgornji rob rešetke se izvaja na ravni 2-5 mm nižje od končnega nivoja platoja. Komplet z vsem priborom za montažo, 
kot npr.: </t>
    </r>
    <r>
      <rPr>
        <i/>
        <sz val="10"/>
        <color theme="1"/>
        <rFont val="Arial Narrow"/>
        <family val="2"/>
        <charset val="238"/>
      </rPr>
      <t>Multiline V200 kanalete (linijske rešetke)</t>
    </r>
    <r>
      <rPr>
        <sz val="10"/>
        <color theme="1"/>
        <rFont val="Arial Narrow"/>
        <family val="2"/>
        <charset val="238"/>
      </rPr>
      <t xml:space="preserve">
</t>
    </r>
  </si>
  <si>
    <r>
      <t xml:space="preserve">Dobava in vgradnja </t>
    </r>
    <r>
      <rPr>
        <i/>
        <sz val="10"/>
        <color theme="1"/>
        <rFont val="Arial Narrow"/>
        <family val="2"/>
        <charset val="238"/>
      </rPr>
      <t>pokrivne litoželezne rešetke</t>
    </r>
    <r>
      <rPr>
        <sz val="10"/>
        <color theme="1"/>
        <rFont val="Arial Narrow"/>
        <family val="2"/>
        <charset val="238"/>
      </rPr>
      <t xml:space="preserve">, obremenitev min. </t>
    </r>
    <r>
      <rPr>
        <i/>
        <sz val="10"/>
        <color theme="1"/>
        <rFont val="Arial Narrow"/>
        <family val="2"/>
        <charset val="238"/>
      </rPr>
      <t>D 400 kN</t>
    </r>
    <r>
      <rPr>
        <sz val="10"/>
        <color theme="1"/>
        <rFont val="Arial Narrow"/>
        <family val="2"/>
        <charset val="238"/>
      </rPr>
      <t xml:space="preserve">, dolžina 500 mm in širine 223 mm, 
kot npr.: </t>
    </r>
    <r>
      <rPr>
        <i/>
        <sz val="10"/>
        <color theme="1"/>
        <rFont val="Arial Narrow"/>
        <family val="2"/>
        <charset val="238"/>
      </rPr>
      <t xml:space="preserve">Multiline V200 - SK design
</t>
    </r>
  </si>
  <si>
    <r>
      <t>Izdelava obrabne in zaporne plasti bituminizirane zmesi AC 8 surf B 70/100 A5 v debelini 4,0 cm (</t>
    </r>
    <r>
      <rPr>
        <i/>
        <sz val="10"/>
        <color theme="1"/>
        <rFont val="Arial Narrow"/>
        <family val="2"/>
        <charset val="238"/>
      </rPr>
      <t>pločnik in uvozi čez pločnik</t>
    </r>
    <r>
      <rPr>
        <sz val="10"/>
        <color theme="1"/>
        <rFont val="Arial Narrow"/>
        <family val="2"/>
        <charset val="238"/>
      </rPr>
      <t xml:space="preserve">)
</t>
    </r>
    <r>
      <rPr>
        <i/>
        <sz val="10"/>
        <color theme="1"/>
        <rFont val="Arial Narrow"/>
        <family val="2"/>
        <charset val="238"/>
      </rPr>
      <t xml:space="preserve">*TOPLI ASFALT 
*Vgradi se lahko do 15% rezkanca pridobljenega iz odpadnega asfalta (Uredba o zelenem javnem naročanju)
</t>
    </r>
  </si>
  <si>
    <r>
      <t xml:space="preserve">Izdelava obrabne in zaporne plasti bituminizirane zmesi AC 11 surf B 50/70 A3 v debelini 4,0 cm
</t>
    </r>
    <r>
      <rPr>
        <i/>
        <sz val="10"/>
        <color theme="1"/>
        <rFont val="Arial Narrow"/>
        <family val="2"/>
        <charset val="238"/>
      </rPr>
      <t>(vozišče, uvozi, dvorišča)
*TOPLI ASFALT 
*Vgradi se lahko do 15% rezkanca pridobljenega iz odpadnega asfalta (Uredba o zelenem javnem naročanju)</t>
    </r>
    <r>
      <rPr>
        <sz val="10"/>
        <color theme="1"/>
        <rFont val="Arial Narrow"/>
        <family val="2"/>
        <charset val="238"/>
      </rPr>
      <t xml:space="preserve">
</t>
    </r>
  </si>
  <si>
    <r>
      <t xml:space="preserve">Dobava in vgradnja predfabricirane betonske </t>
    </r>
    <r>
      <rPr>
        <i/>
        <sz val="10"/>
        <color theme="1"/>
        <rFont val="Arial Narrow"/>
        <family val="2"/>
        <charset val="238"/>
      </rPr>
      <t>taktilne čepaste plošče</t>
    </r>
    <r>
      <rPr>
        <sz val="10"/>
        <color theme="1"/>
        <rFont val="Arial Narrow"/>
        <family val="2"/>
        <charset val="238"/>
      </rPr>
      <t xml:space="preserve"> dim.: </t>
    </r>
    <r>
      <rPr>
        <i/>
        <sz val="10"/>
        <color theme="1"/>
        <rFont val="Arial Narrow"/>
        <family val="2"/>
        <charset val="238"/>
      </rPr>
      <t>30 cm x 30 cm  (prehodi za pešce)</t>
    </r>
    <r>
      <rPr>
        <sz val="10"/>
        <color theme="1"/>
        <rFont val="Arial Narrow"/>
        <family val="2"/>
        <charset val="238"/>
      </rPr>
      <t xml:space="preserve">
</t>
    </r>
  </si>
  <si>
    <r>
      <t xml:space="preserve">Dobava in vgradnja </t>
    </r>
    <r>
      <rPr>
        <i/>
        <sz val="10"/>
        <color theme="1"/>
        <rFont val="Arial Narrow"/>
        <family val="2"/>
        <charset val="238"/>
      </rPr>
      <t>zaključne polne čelne stene</t>
    </r>
    <r>
      <rPr>
        <sz val="10"/>
        <color theme="1"/>
        <rFont val="Arial Narrow"/>
        <family val="2"/>
        <charset val="238"/>
      </rPr>
      <t xml:space="preserve"> iz polimernega betona z zaščitnim robom, debeline 2 cm, 
kot npr.: </t>
    </r>
    <r>
      <rPr>
        <i/>
        <sz val="10"/>
        <color theme="1"/>
        <rFont val="Arial Narrow"/>
        <family val="2"/>
        <charset val="238"/>
      </rPr>
      <t>Multiline V200 pribor</t>
    </r>
    <r>
      <rPr>
        <sz val="10"/>
        <color theme="1"/>
        <rFont val="Arial Narrow"/>
        <family val="2"/>
        <charset val="238"/>
      </rPr>
      <t xml:space="preserve">
</t>
    </r>
  </si>
  <si>
    <r>
      <t xml:space="preserve">Dobava in vgradnja </t>
    </r>
    <r>
      <rPr>
        <i/>
        <sz val="10"/>
        <color theme="1"/>
        <rFont val="Arial Narrow"/>
        <family val="2"/>
        <charset val="238"/>
      </rPr>
      <t>zaključne čelne stene z iztokom do DN200</t>
    </r>
    <r>
      <rPr>
        <sz val="10"/>
        <color theme="1"/>
        <rFont val="Arial Narrow"/>
        <family val="2"/>
        <charset val="238"/>
      </rPr>
      <t xml:space="preserve">, z zaščitnim robom in tesnilom cevi, iz polimernega betona z zaščitnim robom, debeline 2cm, kot npr.: </t>
    </r>
    <r>
      <rPr>
        <i/>
        <sz val="10"/>
        <color theme="1"/>
        <rFont val="Arial Narrow"/>
        <family val="2"/>
        <charset val="238"/>
      </rPr>
      <t>Multiline V200 pribor</t>
    </r>
  </si>
  <si>
    <r>
      <t xml:space="preserve">Dobava in vgradnja enodelnega </t>
    </r>
    <r>
      <rPr>
        <i/>
        <sz val="10"/>
        <color theme="1"/>
        <rFont val="Arial Narrow"/>
        <family val="2"/>
        <charset val="238"/>
      </rPr>
      <t>zbiralnika iz polimernega betona</t>
    </r>
    <r>
      <rPr>
        <sz val="10"/>
        <color theme="1"/>
        <rFont val="Arial Narrow"/>
        <family val="2"/>
        <charset val="238"/>
      </rPr>
      <t xml:space="preserve"> z integriranim tesnilom na </t>
    </r>
    <r>
      <rPr>
        <i/>
        <sz val="10"/>
        <color theme="1"/>
        <rFont val="Arial Narrow"/>
        <family val="2"/>
        <charset val="238"/>
      </rPr>
      <t>iztoku DN160</t>
    </r>
    <r>
      <rPr>
        <sz val="10"/>
        <color theme="1"/>
        <rFont val="Arial Narrow"/>
        <family val="2"/>
        <charset val="238"/>
      </rPr>
      <t xml:space="preserve">, zaščitnim robom in </t>
    </r>
    <r>
      <rPr>
        <i/>
        <sz val="10"/>
        <color theme="1"/>
        <rFont val="Arial Narrow"/>
        <family val="2"/>
        <charset val="238"/>
      </rPr>
      <t xml:space="preserve">PVC vedrom </t>
    </r>
    <r>
      <rPr>
        <sz val="10"/>
        <color theme="1"/>
        <rFont val="Arial Narrow"/>
        <family val="2"/>
        <charset val="238"/>
      </rPr>
      <t xml:space="preserve">za grobe nečistoče, kot npr.: </t>
    </r>
    <r>
      <rPr>
        <i/>
        <sz val="10"/>
        <color theme="1"/>
        <rFont val="Arial Narrow"/>
        <family val="2"/>
        <charset val="238"/>
      </rPr>
      <t>Multiline V200 zbiralnik</t>
    </r>
    <r>
      <rPr>
        <sz val="10"/>
        <color theme="1"/>
        <rFont val="Arial Narrow"/>
        <family val="2"/>
        <charset val="238"/>
      </rPr>
      <t xml:space="preserve">
</t>
    </r>
  </si>
  <si>
    <r>
      <t xml:space="preserve">Izdelava </t>
    </r>
    <r>
      <rPr>
        <i/>
        <sz val="10"/>
        <color theme="1"/>
        <rFont val="Arial Narrow"/>
        <family val="2"/>
        <charset val="238"/>
      </rPr>
      <t>preboja PE vtočnega jaška z vrtanjem s  kronami</t>
    </r>
    <r>
      <rPr>
        <sz val="10"/>
        <color theme="1"/>
        <rFont val="Arial Narrow"/>
        <family val="2"/>
        <charset val="238"/>
      </rPr>
      <t xml:space="preserve"> za diamantno vrtanje, premer odprtine </t>
    </r>
    <r>
      <rPr>
        <i/>
        <sz val="10"/>
        <color theme="1"/>
        <rFont val="Arial Narrow"/>
        <family val="2"/>
        <charset val="238"/>
      </rPr>
      <t>DN160 mm</t>
    </r>
    <r>
      <rPr>
        <sz val="10"/>
        <color theme="1"/>
        <rFont val="Arial Narrow"/>
        <family val="2"/>
        <charset val="238"/>
      </rPr>
      <t xml:space="preserve"> (*</t>
    </r>
    <r>
      <rPr>
        <i/>
        <sz val="10"/>
        <color theme="1"/>
        <rFont val="Arial Narrow"/>
        <family val="2"/>
        <charset val="238"/>
      </rPr>
      <t>vtok iz linijskih rešetk v vtočni jašek-požiralnik</t>
    </r>
    <r>
      <rPr>
        <sz val="10"/>
        <color theme="1"/>
        <rFont val="Arial Narrow"/>
        <family val="2"/>
        <charset val="238"/>
      </rPr>
      <t xml:space="preserve">), z vsem montažnim in tesnilnim materialom
</t>
    </r>
  </si>
  <si>
    <r>
      <t xml:space="preserve">Izdelava </t>
    </r>
    <r>
      <rPr>
        <i/>
        <sz val="10"/>
        <color theme="1"/>
        <rFont val="Arial Narrow"/>
        <family val="2"/>
        <charset val="238"/>
      </rPr>
      <t>geodetskega posnetka izvedenega stanja</t>
    </r>
    <r>
      <rPr>
        <sz val="10"/>
        <color theme="1"/>
        <rFont val="Arial Narrow"/>
        <family val="2"/>
        <charset val="238"/>
      </rPr>
      <t xml:space="preserve"> in projektne dokumentacije - </t>
    </r>
    <r>
      <rPr>
        <i/>
        <sz val="10"/>
        <color theme="1"/>
        <rFont val="Arial Narrow"/>
        <family val="2"/>
        <charset val="238"/>
      </rPr>
      <t xml:space="preserve">projekt izvedenih gradbenih del </t>
    </r>
    <r>
      <rPr>
        <sz val="10"/>
        <color theme="1"/>
        <rFont val="Arial Narrow"/>
        <family val="2"/>
        <charset val="238"/>
      </rPr>
      <t>(PID)</t>
    </r>
  </si>
  <si>
    <r>
      <t>Izdelava projektne</t>
    </r>
    <r>
      <rPr>
        <i/>
        <sz val="10"/>
        <color theme="1"/>
        <rFont val="Arial Narrow"/>
        <family val="2"/>
        <charset val="238"/>
      </rPr>
      <t xml:space="preserve"> </t>
    </r>
    <r>
      <rPr>
        <sz val="10"/>
        <color theme="1"/>
        <rFont val="Arial Narrow"/>
        <family val="2"/>
        <charset val="238"/>
      </rPr>
      <t xml:space="preserve">dokumentacije za </t>
    </r>
    <r>
      <rPr>
        <i/>
        <sz val="10"/>
        <color theme="1"/>
        <rFont val="Arial Narrow"/>
        <family val="2"/>
        <charset val="238"/>
      </rPr>
      <t>vzdrževanje in obratovanje</t>
    </r>
  </si>
  <si>
    <r>
      <t xml:space="preserve">Zaščita oz. prestavitev </t>
    </r>
    <r>
      <rPr>
        <i/>
        <sz val="10"/>
        <color theme="1"/>
        <rFont val="Arial Narrow"/>
        <family val="2"/>
        <charset val="238"/>
      </rPr>
      <t>obstoječega vkopanega plinovoda</t>
    </r>
    <r>
      <rPr>
        <sz val="10"/>
        <color theme="1"/>
        <rFont val="Arial Narrow"/>
        <family val="2"/>
        <charset val="238"/>
      </rPr>
      <t xml:space="preserve"> (</t>
    </r>
    <r>
      <rPr>
        <i/>
        <sz val="10"/>
        <color theme="1"/>
        <rFont val="Arial Narrow"/>
        <family val="2"/>
        <charset val="238"/>
      </rPr>
      <t>izkop voda, prestavitev, zaščitna cev, zasip voda</t>
    </r>
    <r>
      <rPr>
        <sz val="10"/>
        <color theme="1"/>
        <rFont val="Arial Narrow"/>
        <family val="2"/>
        <charset val="238"/>
      </rPr>
      <t xml:space="preserve">) po navodilih upravljalca
</t>
    </r>
  </si>
  <si>
    <r>
      <t xml:space="preserve">Zaščita oz. prestavitev </t>
    </r>
    <r>
      <rPr>
        <i/>
        <sz val="10"/>
        <color theme="1"/>
        <rFont val="Arial Narrow"/>
        <family val="2"/>
        <charset val="238"/>
      </rPr>
      <t>obstoječega vkopanega vodovoda</t>
    </r>
    <r>
      <rPr>
        <sz val="10"/>
        <color theme="1"/>
        <rFont val="Arial Narrow"/>
        <family val="2"/>
        <charset val="238"/>
      </rPr>
      <t xml:space="preserve"> (</t>
    </r>
    <r>
      <rPr>
        <i/>
        <sz val="10"/>
        <color theme="1"/>
        <rFont val="Arial Narrow"/>
        <family val="2"/>
        <charset val="238"/>
      </rPr>
      <t>izkop voda, prestavitev, zaščitna cev, zasip voda</t>
    </r>
    <r>
      <rPr>
        <sz val="10"/>
        <color theme="1"/>
        <rFont val="Arial Narrow"/>
        <family val="2"/>
        <charset val="238"/>
      </rPr>
      <t xml:space="preserve">) po navodilih upravljalca
</t>
    </r>
  </si>
  <si>
    <r>
      <t xml:space="preserve">Zaščita oz. prestavitev obstoječega </t>
    </r>
    <r>
      <rPr>
        <i/>
        <sz val="10"/>
        <color theme="1"/>
        <rFont val="Arial Narrow"/>
        <family val="2"/>
        <charset val="238"/>
      </rPr>
      <t>vkopanega voda cestne razsvetljave</t>
    </r>
    <r>
      <rPr>
        <sz val="10"/>
        <color theme="1"/>
        <rFont val="Arial Narrow"/>
        <family val="2"/>
        <charset val="238"/>
      </rPr>
      <t xml:space="preserve"> (</t>
    </r>
    <r>
      <rPr>
        <i/>
        <sz val="10"/>
        <color theme="1"/>
        <rFont val="Arial Narrow"/>
        <family val="2"/>
        <charset val="238"/>
      </rPr>
      <t>izkop voda, prestavitev, zaščitna cev, zasip voda</t>
    </r>
    <r>
      <rPr>
        <sz val="10"/>
        <color theme="1"/>
        <rFont val="Arial Narrow"/>
        <family val="2"/>
        <charset val="238"/>
      </rPr>
      <t xml:space="preserve">) po navodilih upravljalca
</t>
    </r>
  </si>
  <si>
    <r>
      <t xml:space="preserve">Zaščita oz. prestavitev </t>
    </r>
    <r>
      <rPr>
        <i/>
        <sz val="10"/>
        <color theme="1"/>
        <rFont val="Arial Narrow"/>
        <family val="2"/>
        <charset val="238"/>
      </rPr>
      <t>obstoječega vkopanega telekomunikacijskega voda</t>
    </r>
    <r>
      <rPr>
        <sz val="10"/>
        <color theme="1"/>
        <rFont val="Arial Narrow"/>
        <family val="2"/>
        <charset val="238"/>
      </rPr>
      <t xml:space="preserve"> (</t>
    </r>
    <r>
      <rPr>
        <i/>
        <sz val="10"/>
        <color theme="1"/>
        <rFont val="Arial Narrow"/>
        <family val="2"/>
        <charset val="238"/>
      </rPr>
      <t>izkop voda, prestavitev, zaščitna cev, zasip voda</t>
    </r>
    <r>
      <rPr>
        <sz val="10"/>
        <color theme="1"/>
        <rFont val="Arial Narrow"/>
        <family val="2"/>
        <charset val="238"/>
      </rPr>
      <t xml:space="preserve">) po navodilih upravljalca
</t>
    </r>
  </si>
  <si>
    <r>
      <t xml:space="preserve">Zaščita oz. prestavitev </t>
    </r>
    <r>
      <rPr>
        <i/>
        <sz val="10"/>
        <color theme="1"/>
        <rFont val="Arial Narrow"/>
        <family val="2"/>
        <charset val="238"/>
      </rPr>
      <t>obstoječega vkopanega elektro-energetskega voda</t>
    </r>
    <r>
      <rPr>
        <sz val="10"/>
        <color theme="1"/>
        <rFont val="Arial Narrow"/>
        <family val="2"/>
        <charset val="238"/>
      </rPr>
      <t xml:space="preserve"> (</t>
    </r>
    <r>
      <rPr>
        <i/>
        <sz val="10"/>
        <color theme="1"/>
        <rFont val="Arial Narrow"/>
        <family val="2"/>
        <charset val="238"/>
      </rPr>
      <t>izkop voda, prestavitev, zaščitna cev, zasip voda</t>
    </r>
    <r>
      <rPr>
        <sz val="10"/>
        <color theme="1"/>
        <rFont val="Arial Narrow"/>
        <family val="2"/>
        <charset val="238"/>
      </rPr>
      <t xml:space="preserve">) po navodilih upravljalca
</t>
    </r>
  </si>
  <si>
    <r>
      <t>Doplačilo za izdelavo</t>
    </r>
    <r>
      <rPr>
        <i/>
        <sz val="10"/>
        <color theme="1"/>
        <rFont val="Arial Narrow"/>
        <family val="2"/>
        <charset val="238"/>
      </rPr>
      <t xml:space="preserve"> prekinjenih</t>
    </r>
    <r>
      <rPr>
        <sz val="10"/>
        <color theme="1"/>
        <rFont val="Arial Narrow"/>
        <family val="2"/>
        <charset val="238"/>
      </rPr>
      <t xml:space="preserve"> </t>
    </r>
    <r>
      <rPr>
        <i/>
        <sz val="10"/>
        <color theme="1"/>
        <rFont val="Arial Narrow"/>
        <family val="2"/>
        <charset val="238"/>
      </rPr>
      <t>debeloslojnih</t>
    </r>
    <r>
      <rPr>
        <sz val="10"/>
        <color theme="1"/>
        <rFont val="Arial Narrow"/>
        <family val="2"/>
        <charset val="238"/>
      </rPr>
      <t xml:space="preserve"> vzdolžnih označb na vozišču, </t>
    </r>
    <r>
      <rPr>
        <i/>
        <sz val="10"/>
        <color theme="1"/>
        <rFont val="Arial Narrow"/>
        <family val="2"/>
        <charset val="238"/>
      </rPr>
      <t>širina črte</t>
    </r>
    <r>
      <rPr>
        <sz val="10"/>
        <color theme="1"/>
        <rFont val="Arial Narrow"/>
        <family val="2"/>
        <charset val="238"/>
      </rPr>
      <t xml:space="preserve"> </t>
    </r>
    <r>
      <rPr>
        <i/>
        <sz val="10"/>
        <color theme="1"/>
        <rFont val="Arial Narrow"/>
        <family val="2"/>
        <charset val="238"/>
      </rPr>
      <t>12 cm  (5121-3)</t>
    </r>
    <r>
      <rPr>
        <sz val="10"/>
        <color theme="1"/>
        <rFont val="Arial Narrow"/>
        <family val="2"/>
        <charset val="238"/>
      </rPr>
      <t xml:space="preserve">
</t>
    </r>
  </si>
  <si>
    <r>
      <t>Izdelava</t>
    </r>
    <r>
      <rPr>
        <i/>
        <sz val="10"/>
        <rFont val="Arial Narrow"/>
        <family val="2"/>
        <charset val="238"/>
      </rPr>
      <t xml:space="preserve"> debeloslojne</t>
    </r>
    <r>
      <rPr>
        <sz val="10"/>
        <rFont val="Arial Narrow"/>
        <family val="2"/>
        <charset val="238"/>
      </rPr>
      <t xml:space="preserve"> vzdolžne označbe na vozišču z </t>
    </r>
    <r>
      <rPr>
        <i/>
        <sz val="10"/>
        <rFont val="Arial Narrow"/>
        <family val="2"/>
        <charset val="238"/>
      </rPr>
      <t>večkomponentno</t>
    </r>
    <r>
      <rPr>
        <sz val="10"/>
        <rFont val="Arial Narrow"/>
        <family val="2"/>
        <charset val="238"/>
      </rPr>
      <t xml:space="preserve"> vročo plastiko </t>
    </r>
    <r>
      <rPr>
        <i/>
        <sz val="10"/>
        <rFont val="Arial Narrow"/>
        <family val="2"/>
        <charset val="238"/>
      </rPr>
      <t>rdeče barve</t>
    </r>
    <r>
      <rPr>
        <sz val="10"/>
        <rFont val="Arial Narrow"/>
        <family val="2"/>
        <charset val="238"/>
      </rPr>
      <t xml:space="preserve">, vključno </t>
    </r>
    <r>
      <rPr>
        <i/>
        <sz val="10"/>
        <rFont val="Arial Narrow"/>
        <family val="2"/>
        <charset val="238"/>
      </rPr>
      <t>250 g/m2</t>
    </r>
    <r>
      <rPr>
        <sz val="10"/>
        <rFont val="Arial Narrow"/>
        <family val="2"/>
        <charset val="238"/>
      </rPr>
      <t xml:space="preserve"> posipa z drobci / kroglicami stekla, strojno, debelina plasti suhe snovi </t>
    </r>
    <r>
      <rPr>
        <i/>
        <sz val="10"/>
        <rFont val="Arial Narrow"/>
        <family val="2"/>
        <charset val="238"/>
      </rPr>
      <t>300 µm</t>
    </r>
    <r>
      <rPr>
        <sz val="10"/>
        <rFont val="Arial Narrow"/>
        <family val="2"/>
        <charset val="238"/>
      </rPr>
      <t xml:space="preserve">, </t>
    </r>
    <r>
      <rPr>
        <i/>
        <sz val="10"/>
        <rFont val="Arial Narrow"/>
        <family val="2"/>
        <charset val="238"/>
      </rPr>
      <t>širina črte 20 cm</t>
    </r>
    <r>
      <rPr>
        <sz val="10"/>
        <rFont val="Arial Narrow"/>
        <family val="2"/>
        <charset val="238"/>
      </rPr>
      <t xml:space="preserve"> (</t>
    </r>
    <r>
      <rPr>
        <i/>
        <sz val="10"/>
        <rFont val="Arial Narrow"/>
        <family val="2"/>
        <charset val="238"/>
      </rPr>
      <t>5233</t>
    </r>
    <r>
      <rPr>
        <sz val="10"/>
        <rFont val="Arial Narrow"/>
        <family val="2"/>
        <charset val="238"/>
      </rPr>
      <t xml:space="preserve">)
</t>
    </r>
  </si>
  <si>
    <r>
      <t xml:space="preserve">Izdelava </t>
    </r>
    <r>
      <rPr>
        <i/>
        <sz val="10"/>
        <color theme="1"/>
        <rFont val="Arial Narrow"/>
        <family val="2"/>
        <charset val="238"/>
      </rPr>
      <t>debeloslojne</t>
    </r>
    <r>
      <rPr>
        <sz val="10"/>
        <color theme="1"/>
        <rFont val="Arial Narrow"/>
        <family val="2"/>
        <charset val="238"/>
      </rPr>
      <t xml:space="preserve"> prečne in ostalih označb na vozišču z </t>
    </r>
    <r>
      <rPr>
        <i/>
        <sz val="10"/>
        <color theme="1"/>
        <rFont val="Arial Narrow"/>
        <family val="2"/>
        <charset val="238"/>
      </rPr>
      <t>večkomponentno</t>
    </r>
    <r>
      <rPr>
        <sz val="10"/>
        <color theme="1"/>
        <rFont val="Arial Narrow"/>
        <family val="2"/>
        <charset val="238"/>
      </rPr>
      <t xml:space="preserve"> vročo plastiko</t>
    </r>
    <r>
      <rPr>
        <i/>
        <sz val="10"/>
        <color theme="1"/>
        <rFont val="Arial Narrow"/>
        <family val="2"/>
        <charset val="238"/>
      </rPr>
      <t xml:space="preserve"> bele barve</t>
    </r>
    <r>
      <rPr>
        <sz val="10"/>
        <color theme="1"/>
        <rFont val="Arial Narrow"/>
        <family val="2"/>
        <charset val="238"/>
      </rPr>
      <t xml:space="preserve"> z vmešanimi drobci / kroglicami stekla, vključno </t>
    </r>
    <r>
      <rPr>
        <i/>
        <sz val="10"/>
        <color theme="1"/>
        <rFont val="Arial Narrow"/>
        <family val="2"/>
        <charset val="238"/>
      </rPr>
      <t>250 g/m2</t>
    </r>
    <r>
      <rPr>
        <sz val="10"/>
        <color theme="1"/>
        <rFont val="Arial Narrow"/>
        <family val="2"/>
        <charset val="238"/>
      </rPr>
      <t xml:space="preserve"> dodatnega posipa z drobci stekla, strojno, debelina plasti suhe snovi </t>
    </r>
    <r>
      <rPr>
        <i/>
        <sz val="10"/>
        <color theme="1"/>
        <rFont val="Arial Narrow"/>
        <family val="2"/>
        <charset val="238"/>
      </rPr>
      <t>300 µm</t>
    </r>
    <r>
      <rPr>
        <sz val="10"/>
        <color theme="1"/>
        <rFont val="Arial Narrow"/>
        <family val="2"/>
        <charset val="238"/>
      </rPr>
      <t xml:space="preserve">, posamezna </t>
    </r>
    <r>
      <rPr>
        <i/>
        <sz val="10"/>
        <color theme="1"/>
        <rFont val="Arial Narrow"/>
        <family val="2"/>
        <charset val="238"/>
      </rPr>
      <t xml:space="preserve">površina označbe 0,6 do 1,0 m2
(piktogrami na kolesarski stezi - 5609-1)
</t>
    </r>
  </si>
  <si>
    <r>
      <t xml:space="preserve">Izdelava tankoslojne prečne in ostalih označb na vozišču z enokomponentno </t>
    </r>
    <r>
      <rPr>
        <i/>
        <sz val="10"/>
        <color theme="1"/>
        <rFont val="Arial Narrow"/>
        <family val="2"/>
        <charset val="238"/>
      </rPr>
      <t>belo barvo</t>
    </r>
    <r>
      <rPr>
        <sz val="10"/>
        <color theme="1"/>
        <rFont val="Arial Narrow"/>
        <family val="2"/>
        <charset val="238"/>
      </rPr>
      <t>, vključno 250 g/m2 posipa z drobci / kroglicami stekla, strojno, debelina plasti suhe snovi 250 µm,</t>
    </r>
    <r>
      <rPr>
        <i/>
        <sz val="10"/>
        <color theme="1"/>
        <rFont val="Arial Narrow"/>
        <family val="2"/>
        <charset val="238"/>
      </rPr>
      <t xml:space="preserve"> širina črte 50 cm</t>
    </r>
    <r>
      <rPr>
        <sz val="10"/>
        <color theme="1"/>
        <rFont val="Arial Narrow"/>
        <family val="2"/>
        <charset val="238"/>
      </rPr>
      <t xml:space="preserve"> (</t>
    </r>
    <r>
      <rPr>
        <i/>
        <sz val="10"/>
        <color theme="1"/>
        <rFont val="Arial Narrow"/>
        <family val="2"/>
        <charset val="238"/>
      </rPr>
      <t>5211</t>
    </r>
    <r>
      <rPr>
        <sz val="10"/>
        <color theme="1"/>
        <rFont val="Arial Narrow"/>
        <family val="2"/>
        <charset val="238"/>
      </rPr>
      <t xml:space="preserve">)
</t>
    </r>
  </si>
  <si>
    <r>
      <t xml:space="preserve">Izdelava tankoslojne prečne in ostalih označb na vozišču z enokomponentno </t>
    </r>
    <r>
      <rPr>
        <i/>
        <sz val="10"/>
        <color theme="1"/>
        <rFont val="Arial Narrow"/>
        <family val="2"/>
        <charset val="238"/>
      </rPr>
      <t>rumeno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 xml:space="preserve">površina označbe 0,6 do 1,0 m2 </t>
    </r>
    <r>
      <rPr>
        <sz val="10"/>
        <color theme="1"/>
        <rFont val="Arial Narrow"/>
        <family val="2"/>
        <charset val="238"/>
      </rPr>
      <t xml:space="preserve"> (</t>
    </r>
    <r>
      <rPr>
        <i/>
        <sz val="10"/>
        <color theme="1"/>
        <rFont val="Arial Narrow"/>
        <family val="2"/>
        <charset val="238"/>
      </rPr>
      <t>5335-1</t>
    </r>
    <r>
      <rPr>
        <sz val="10"/>
        <color theme="1"/>
        <rFont val="Arial Narrow"/>
        <family val="2"/>
        <charset val="238"/>
      </rPr>
      <t xml:space="preserve">)
</t>
    </r>
  </si>
  <si>
    <r>
      <t xml:space="preserve">Dobava in pritrditev </t>
    </r>
    <r>
      <rPr>
        <i/>
        <sz val="10"/>
        <color theme="1"/>
        <rFont val="Arial Narrow"/>
        <family val="2"/>
        <charset val="238"/>
      </rPr>
      <t>STOP</t>
    </r>
    <r>
      <rPr>
        <sz val="10"/>
        <color theme="1"/>
        <rFont val="Arial Narrow"/>
        <family val="2"/>
        <charset val="238"/>
      </rPr>
      <t xml:space="preserve"> prometnega znaka, podloga iz vroče cinkane jeklene pločevine, znak z </t>
    </r>
    <r>
      <rPr>
        <i/>
        <sz val="10"/>
        <color theme="1"/>
        <rFont val="Arial Narrow"/>
        <family val="2"/>
        <charset val="238"/>
      </rPr>
      <t xml:space="preserve">belo/rdečo </t>
    </r>
    <r>
      <rPr>
        <sz val="10"/>
        <color theme="1"/>
        <rFont val="Arial Narrow"/>
        <family val="2"/>
        <charset val="238"/>
      </rPr>
      <t xml:space="preserve">barvo in odsevno folijo </t>
    </r>
    <r>
      <rPr>
        <i/>
        <sz val="10"/>
        <color theme="1"/>
        <rFont val="Arial Narrow"/>
        <family val="2"/>
        <charset val="238"/>
      </rPr>
      <t>RA2</t>
    </r>
    <r>
      <rPr>
        <sz val="10"/>
        <color theme="1"/>
        <rFont val="Arial Narrow"/>
        <family val="2"/>
        <charset val="238"/>
      </rPr>
      <t xml:space="preserve">, </t>
    </r>
    <r>
      <rPr>
        <i/>
        <sz val="10"/>
        <color theme="1"/>
        <rFont val="Arial Narrow"/>
        <family val="2"/>
        <charset val="238"/>
      </rPr>
      <t xml:space="preserve">premera 600 mm  </t>
    </r>
    <r>
      <rPr>
        <sz val="10"/>
        <color theme="1"/>
        <rFont val="Arial Narrow"/>
        <family val="2"/>
        <charset val="238"/>
      </rPr>
      <t>(</t>
    </r>
    <r>
      <rPr>
        <i/>
        <sz val="10"/>
        <color theme="1"/>
        <rFont val="Arial Narrow"/>
        <family val="2"/>
        <charset val="238"/>
      </rPr>
      <t>2102</t>
    </r>
    <r>
      <rPr>
        <sz val="10"/>
        <color theme="1"/>
        <rFont val="Arial Narrow"/>
        <family val="2"/>
        <charset val="238"/>
      </rPr>
      <t xml:space="preserve">)
</t>
    </r>
  </si>
  <si>
    <r>
      <t xml:space="preserve">Izdelava tankoslojne prečne in ostalih označb na vozišču z enokomponentno </t>
    </r>
    <r>
      <rPr>
        <i/>
        <sz val="10"/>
        <color theme="1"/>
        <rFont val="Arial Narrow"/>
        <family val="2"/>
        <charset val="238"/>
      </rPr>
      <t>belo/rdečo barvo</t>
    </r>
    <r>
      <rPr>
        <sz val="10"/>
        <color theme="1"/>
        <rFont val="Arial Narrow"/>
        <family val="2"/>
        <charset val="238"/>
      </rPr>
      <t xml:space="preserve">, vključno 250 g/m2 posipa z drobci / kroglicami stekla, strojno, debelina plasti suhe snovi 250 µm, </t>
    </r>
    <r>
      <rPr>
        <i/>
        <sz val="10"/>
        <color theme="1"/>
        <rFont val="Arial Narrow"/>
        <family val="2"/>
        <charset val="238"/>
      </rPr>
      <t xml:space="preserve">površina označbe nad 3,0 m2
</t>
    </r>
    <r>
      <rPr>
        <sz val="10"/>
        <color theme="1"/>
        <rFont val="Arial Narrow"/>
        <family val="2"/>
        <charset val="238"/>
      </rPr>
      <t>(</t>
    </r>
    <r>
      <rPr>
        <i/>
        <sz val="10"/>
        <color theme="1"/>
        <rFont val="Arial Narrow"/>
        <family val="2"/>
        <charset val="238"/>
      </rPr>
      <t>5603-območje omejene hitrosti 30km/h</t>
    </r>
    <r>
      <rPr>
        <sz val="10"/>
        <color theme="1"/>
        <rFont val="Arial Narrow"/>
        <family val="2"/>
        <charset val="238"/>
      </rPr>
      <t xml:space="preserve">)
</t>
    </r>
  </si>
  <si>
    <r>
      <t>Nabava, dobava in vgradnja (zabitje)</t>
    </r>
    <r>
      <rPr>
        <i/>
        <sz val="10"/>
        <color theme="1"/>
        <rFont val="Arial Narrow"/>
        <family val="2"/>
        <charset val="238"/>
      </rPr>
      <t xml:space="preserve"> koreninskega količka </t>
    </r>
    <r>
      <rPr>
        <sz val="10"/>
        <color theme="1"/>
        <rFont val="Arial Narrow"/>
        <family val="2"/>
        <charset val="238"/>
      </rPr>
      <t>za pritrditev stebrička za prometni znak skupaj z vsem montažnim materialom (</t>
    </r>
    <r>
      <rPr>
        <i/>
        <sz val="10"/>
        <color theme="1"/>
        <rFont val="Arial Narrow"/>
        <family val="2"/>
        <charset val="238"/>
      </rPr>
      <t>kot npr. Meblo MS10043</t>
    </r>
    <r>
      <rPr>
        <sz val="10"/>
        <color theme="1"/>
        <rFont val="Arial Narrow"/>
        <family val="2"/>
        <charset val="238"/>
      </rPr>
      <t xml:space="preserve">)
</t>
    </r>
  </si>
  <si>
    <r>
      <t>Dobava in vgraditev</t>
    </r>
    <r>
      <rPr>
        <i/>
        <sz val="10"/>
        <color theme="1"/>
        <rFont val="Arial Narrow"/>
        <family val="2"/>
        <charset val="238"/>
      </rPr>
      <t xml:space="preserve"> stebrička</t>
    </r>
    <r>
      <rPr>
        <sz val="10"/>
        <color theme="1"/>
        <rFont val="Arial Narrow"/>
        <family val="2"/>
        <charset val="238"/>
      </rPr>
      <t xml:space="preserve"> za prometni znak iz vroče cinkane jeklene cevi s premerom 64 mm, </t>
    </r>
    <r>
      <rPr>
        <i/>
        <sz val="10"/>
        <color theme="1"/>
        <rFont val="Arial Narrow"/>
        <family val="2"/>
        <charset val="238"/>
      </rPr>
      <t>dolge 3500 mm</t>
    </r>
    <r>
      <rPr>
        <sz val="10"/>
        <color theme="1"/>
        <rFont val="Arial Narrow"/>
        <family val="2"/>
        <charset val="238"/>
      </rPr>
      <t xml:space="preserve">
</t>
    </r>
  </si>
  <si>
    <t>Čerinova ulica, LZ 212261</t>
  </si>
  <si>
    <t>12 299</t>
  </si>
  <si>
    <t xml:space="preserve">Porušitev in odstranitev LTŽ stebrička, vključno s temeljem in odvozom na deponijo
</t>
  </si>
  <si>
    <r>
      <t xml:space="preserve">Dobava materiala in izdelava betonskih parapetnih zidov </t>
    </r>
    <r>
      <rPr>
        <i/>
        <sz val="10"/>
        <color theme="1"/>
        <rFont val="Arial Narrow"/>
        <family val="2"/>
        <charset val="238"/>
      </rPr>
      <t>višine do 0,50 m (nad nivojem urejenega terena)</t>
    </r>
    <r>
      <rPr>
        <sz val="10"/>
        <color theme="1"/>
        <rFont val="Arial Narrow"/>
        <family val="2"/>
        <charset val="238"/>
      </rPr>
      <t xml:space="preserve">, vključno s podložnim betonom C12/15, opaženjem in vgraditvijo rebrastih žic iz visokovrednega naravno trdega jekla B St 500 S s premerom do 14 mm (za enostavno ojačitev temeljev in sten zidov) ter dobava in vgradnja ojačenega cementnega betona C25/30 v temelje in stene parapetnih zidov
</t>
    </r>
  </si>
  <si>
    <t>55 100</t>
  </si>
  <si>
    <t>12 499</t>
  </si>
  <si>
    <t xml:space="preserve">Demontaža in odstranitev obstoječe avtobusne nadstrešnice, vključno z deponiranjem do ponovne montaže
</t>
  </si>
  <si>
    <t xml:space="preserve">Demontaža in odstranitev jeklene varnostne ograje (JVO), vključno z odvozom na deponijo in pločilom komunalne takse
</t>
  </si>
  <si>
    <t>13 300</t>
  </si>
  <si>
    <t xml:space="preserve">Dobava, dostava in postavitev začasne zaščitne ograje (polna panelna ograja) za fazno izvedbo v območju izvedbe razpihovanja drevesnega koreninskega sistema
*višina zaščitne ograje 2,00 m
*fazna izvedba (do 3 drevesa hkrati)
</t>
  </si>
  <si>
    <t xml:space="preserve">Odstranitev panja s premerom 11 do 30 cm z odvozom na deponijo na razdaljo nad 1000 m
</t>
  </si>
  <si>
    <t>12 183</t>
  </si>
  <si>
    <r>
      <t>Zaščita drevesnih debel z juto/filcem in deskami v višini 1,50m
*</t>
    </r>
    <r>
      <rPr>
        <i/>
        <sz val="10"/>
        <color theme="1"/>
        <rFont val="Arial Narrow"/>
        <family val="2"/>
        <charset val="238"/>
      </rPr>
      <t>skladno s SIST DIN 18920:2019</t>
    </r>
    <r>
      <rPr>
        <sz val="10"/>
        <color theme="1"/>
        <rFont val="Arial Narrow"/>
        <family val="2"/>
        <charset val="238"/>
      </rPr>
      <t xml:space="preserve">
</t>
    </r>
  </si>
  <si>
    <r>
      <t xml:space="preserve">Porušitev in odstranitev nevezanega tlaka iz lomljenca, tlakovcev, plošč, debeline do 12 cm </t>
    </r>
    <r>
      <rPr>
        <i/>
        <sz val="10"/>
        <color theme="1"/>
        <rFont val="Arial Narrow"/>
        <family val="2"/>
        <charset val="238"/>
      </rPr>
      <t xml:space="preserve"> (tlakovci, plošče, travne rešetke na dvoriščih, pešpoteh, itd.)
</t>
    </r>
  </si>
  <si>
    <r>
      <t xml:space="preserve">Izdelava </t>
    </r>
    <r>
      <rPr>
        <i/>
        <sz val="10"/>
        <color theme="1"/>
        <rFont val="Arial Narrow"/>
        <family val="2"/>
        <charset val="238"/>
      </rPr>
      <t>zasipa</t>
    </r>
    <r>
      <rPr>
        <sz val="10"/>
        <color theme="1"/>
        <rFont val="Arial Narrow"/>
        <family val="2"/>
        <charset val="238"/>
      </rPr>
      <t xml:space="preserve"> iz zrnate kamnine – 3. kategorije ter zasipavanje kanala skupaj z dobavo in dovozom materiala 0/16 in utrjevanjem z vibracijskim nabijačem v slojih po 20 cm do 95% trdnosti po standardnem Proktorjevem postopku
(</t>
    </r>
    <r>
      <rPr>
        <i/>
        <sz val="10"/>
        <color theme="1"/>
        <rFont val="Arial Narrow"/>
        <family val="2"/>
        <charset val="238"/>
      </rPr>
      <t>zasip vtočnih jaškov in cevnih navezav vtočnih jaškov</t>
    </r>
    <r>
      <rPr>
        <sz val="10"/>
        <color theme="1"/>
        <rFont val="Arial Narrow"/>
        <family val="2"/>
        <charset val="238"/>
      </rPr>
      <t xml:space="preserve">)
</t>
    </r>
  </si>
  <si>
    <r>
      <t xml:space="preserve">Dobava in vgraditev </t>
    </r>
    <r>
      <rPr>
        <i/>
        <sz val="10"/>
        <color theme="1"/>
        <rFont val="Arial Narrow"/>
        <family val="2"/>
        <charset val="238"/>
      </rPr>
      <t>ukrivljene LTŽ rešetke</t>
    </r>
    <r>
      <rPr>
        <sz val="10"/>
        <color theme="1"/>
        <rFont val="Arial Narrow"/>
        <family val="2"/>
        <charset val="238"/>
      </rPr>
      <t xml:space="preserve"> z nosilnostjo 
</t>
    </r>
    <r>
      <rPr>
        <i/>
        <sz val="10"/>
        <color theme="1"/>
        <rFont val="Arial Narrow"/>
        <family val="2"/>
        <charset val="238"/>
      </rPr>
      <t>400 kN</t>
    </r>
    <r>
      <rPr>
        <sz val="10"/>
        <color theme="1"/>
        <rFont val="Arial Narrow"/>
        <family val="2"/>
        <charset val="238"/>
      </rPr>
      <t>, s prerezom</t>
    </r>
    <r>
      <rPr>
        <i/>
        <sz val="10"/>
        <color theme="1"/>
        <rFont val="Arial Narrow"/>
        <family val="2"/>
        <charset val="238"/>
      </rPr>
      <t xml:space="preserve"> 400/400 mm</t>
    </r>
    <r>
      <rPr>
        <sz val="10"/>
        <color theme="1"/>
        <rFont val="Arial Narrow"/>
        <family val="2"/>
        <charset val="238"/>
      </rPr>
      <t xml:space="preserve"> (</t>
    </r>
    <r>
      <rPr>
        <i/>
        <sz val="10"/>
        <color theme="1"/>
        <rFont val="Arial Narrow"/>
        <family val="2"/>
        <charset val="238"/>
      </rPr>
      <t>vtočni jaški v muldi</t>
    </r>
    <r>
      <rPr>
        <sz val="10"/>
        <color theme="1"/>
        <rFont val="Arial Narrow"/>
        <family val="2"/>
        <charset val="238"/>
      </rPr>
      <t xml:space="preserve">)
</t>
    </r>
  </si>
  <si>
    <t xml:space="preserve">Preskus tesnosti jaška premera do 50 cm
</t>
  </si>
  <si>
    <r>
      <t xml:space="preserve">Izdelava nosilne plasti bituminizirane zmesi AC 22 base B 50/70 A3 v debelini 6 cm 
</t>
    </r>
    <r>
      <rPr>
        <i/>
        <sz val="10"/>
        <color theme="1"/>
        <rFont val="Arial Narrow"/>
        <family val="2"/>
        <charset val="238"/>
      </rPr>
      <t>(parkirišče, uvozi čez pločnik, uvozi, dvorišča)
*TOPLI ASFALT 
*Vgradi se lahko do 15% rezkanca pridobljenega iz odpadnega asfalta (Uredba o zelenem javnem naročanju)</t>
    </r>
    <r>
      <rPr>
        <sz val="10"/>
        <color theme="1"/>
        <rFont val="Arial Narrow"/>
        <family val="2"/>
        <charset val="238"/>
      </rPr>
      <t xml:space="preserve">
</t>
    </r>
  </si>
  <si>
    <r>
      <t xml:space="preserve">Izdelava nosilne plasti bituminizirane zmesi AC 22 base B 50/70 A3 v debelini 8 cm ( </t>
    </r>
    <r>
      <rPr>
        <i/>
        <sz val="10"/>
        <color theme="1"/>
        <rFont val="Arial Narrow"/>
        <family val="2"/>
        <charset val="238"/>
      </rPr>
      <t>vozišče</t>
    </r>
    <r>
      <rPr>
        <sz val="10"/>
        <color theme="1"/>
        <rFont val="Arial Narrow"/>
        <family val="2"/>
        <charset val="238"/>
      </rPr>
      <t xml:space="preserve">)
</t>
    </r>
    <r>
      <rPr>
        <i/>
        <sz val="10"/>
        <color theme="1"/>
        <rFont val="Arial Narrow"/>
        <family val="2"/>
        <charset val="238"/>
      </rPr>
      <t>*TOPLI ASFALT 
*Vgradi se lahko do 15% rezkanca pridobljenega iz odpadnega asfalta (Uredba o zelenem javnem naročanju)</t>
    </r>
    <r>
      <rPr>
        <sz val="10"/>
        <color theme="1"/>
        <rFont val="Arial Narrow"/>
        <family val="2"/>
        <charset val="238"/>
      </rPr>
      <t xml:space="preserve">
</t>
    </r>
  </si>
  <si>
    <t>32 299</t>
  </si>
  <si>
    <r>
      <t>Doplačilo za izdelavo mulde v širini 50cm
in minimalni globini 5cm (</t>
    </r>
    <r>
      <rPr>
        <i/>
        <sz val="10"/>
        <color theme="1"/>
        <rFont val="Arial Narrow"/>
        <family val="2"/>
        <charset val="238"/>
      </rPr>
      <t xml:space="preserve">asfalt upoštevan v postavki 31 552 in 32 274 </t>
    </r>
    <r>
      <rPr>
        <sz val="10"/>
        <color theme="1"/>
        <rFont val="Arial Narrow"/>
        <family val="2"/>
        <charset val="238"/>
      </rPr>
      <t xml:space="preserve">)
</t>
    </r>
  </si>
  <si>
    <r>
      <t xml:space="preserve">Dobava in vgradnja predfabricirane betonske </t>
    </r>
    <r>
      <rPr>
        <i/>
        <sz val="10"/>
        <color theme="1"/>
        <rFont val="Arial Narrow"/>
        <family val="2"/>
        <charset val="238"/>
      </rPr>
      <t>taktilne rebraste plošče</t>
    </r>
    <r>
      <rPr>
        <sz val="10"/>
        <color theme="1"/>
        <rFont val="Arial Narrow"/>
        <family val="2"/>
        <charset val="238"/>
      </rPr>
      <t xml:space="preserve"> dim.: </t>
    </r>
    <r>
      <rPr>
        <i/>
        <sz val="10"/>
        <color theme="1"/>
        <rFont val="Arial Narrow"/>
        <family val="2"/>
        <charset val="238"/>
      </rPr>
      <t>30 cm x 30 cm  (bus čakališče)</t>
    </r>
    <r>
      <rPr>
        <sz val="10"/>
        <color theme="1"/>
        <rFont val="Arial Narrow"/>
        <family val="2"/>
        <charset val="238"/>
      </rPr>
      <t xml:space="preserve">
</t>
    </r>
  </si>
  <si>
    <r>
      <t>Dobava in izvedba zalitja por z malto tipa Creteo Confalt vključno s peskanjem (</t>
    </r>
    <r>
      <rPr>
        <i/>
        <sz val="10"/>
        <color theme="1"/>
        <rFont val="Arial Narrow"/>
        <family val="2"/>
        <charset val="238"/>
      </rPr>
      <t>bus postajališče</t>
    </r>
    <r>
      <rPr>
        <sz val="10"/>
        <color theme="1"/>
        <rFont val="Arial Narrow"/>
        <family val="2"/>
        <charset val="238"/>
      </rPr>
      <t xml:space="preserve">)
</t>
    </r>
  </si>
  <si>
    <r>
      <t>Izdelava obrobe iz malih tlakovcev iz naravnega kamna velikosti 
10 cm / 10 cm / 10 cm  (</t>
    </r>
    <r>
      <rPr>
        <i/>
        <sz val="10"/>
        <color theme="1"/>
        <rFont val="Arial Narrow"/>
        <family val="2"/>
        <charset val="238"/>
      </rPr>
      <t>granitne kocke</t>
    </r>
    <r>
      <rPr>
        <sz val="10"/>
        <color theme="1"/>
        <rFont val="Arial Narrow"/>
        <family val="2"/>
        <charset val="238"/>
      </rPr>
      <t xml:space="preserve">)
</t>
    </r>
  </si>
  <si>
    <r>
      <t xml:space="preserve">Porušitev in odstranitev cementnega betona
</t>
    </r>
    <r>
      <rPr>
        <i/>
        <sz val="10"/>
        <color theme="1"/>
        <rFont val="Arial Narrow"/>
        <family val="2"/>
        <charset val="238"/>
      </rPr>
      <t>(temelji za BUS nadstrešnico)</t>
    </r>
    <r>
      <rPr>
        <sz val="10"/>
        <color theme="1"/>
        <rFont val="Arial Narrow"/>
        <family val="2"/>
        <charset val="238"/>
      </rPr>
      <t xml:space="preserve">
</t>
    </r>
  </si>
  <si>
    <t>41 650</t>
  </si>
  <si>
    <t>41 649</t>
  </si>
  <si>
    <t>41 648</t>
  </si>
  <si>
    <t>41 647</t>
  </si>
  <si>
    <t xml:space="preserve">Ureditev ekološkega otoka za šest smetnjakov iz predfabriciranih betonskih elementov
</t>
  </si>
  <si>
    <t>66 925</t>
  </si>
  <si>
    <r>
      <t xml:space="preserve">Postavitev/montaža deponirane obstoječe nadstrešnice avtobusnega čakališča </t>
    </r>
    <r>
      <rPr>
        <i/>
        <sz val="10"/>
        <color theme="1"/>
        <rFont val="Arial Narrow"/>
        <family val="2"/>
        <charset val="238"/>
      </rPr>
      <t>(vključno z izvedbo temeljev in vsemi montažnimi deli)</t>
    </r>
    <r>
      <rPr>
        <sz val="10"/>
        <color theme="1"/>
        <rFont val="Arial Narrow"/>
        <family val="2"/>
        <charset val="238"/>
      </rPr>
      <t xml:space="preserve">
</t>
    </r>
  </si>
  <si>
    <t xml:space="preserve">kos
</t>
  </si>
  <si>
    <t>77 112</t>
  </si>
  <si>
    <r>
      <t xml:space="preserve">Zaščita oz. prestavitev </t>
    </r>
    <r>
      <rPr>
        <i/>
        <sz val="10"/>
        <color theme="1"/>
        <rFont val="Arial Narrow"/>
        <family val="2"/>
        <charset val="238"/>
      </rPr>
      <t>obstoječega vkopanega vročevoda</t>
    </r>
    <r>
      <rPr>
        <sz val="10"/>
        <color theme="1"/>
        <rFont val="Arial Narrow"/>
        <family val="2"/>
        <charset val="238"/>
      </rPr>
      <t xml:space="preserve"> (</t>
    </r>
    <r>
      <rPr>
        <i/>
        <sz val="10"/>
        <color theme="1"/>
        <rFont val="Arial Narrow"/>
        <family val="2"/>
        <charset val="238"/>
      </rPr>
      <t>izkop voda, prestavitev, zaščitna cev, zasip voda</t>
    </r>
    <r>
      <rPr>
        <sz val="10"/>
        <color theme="1"/>
        <rFont val="Arial Narrow"/>
        <family val="2"/>
        <charset val="238"/>
      </rPr>
      <t xml:space="preserve">) po navodilih upravljalca
</t>
    </r>
  </si>
  <si>
    <r>
      <t xml:space="preserve">Dobava in pritrditev </t>
    </r>
    <r>
      <rPr>
        <i/>
        <sz val="10"/>
        <color theme="1"/>
        <rFont val="Arial Narrow"/>
        <family val="2"/>
        <charset val="238"/>
      </rPr>
      <t>okroglega</t>
    </r>
    <r>
      <rPr>
        <sz val="10"/>
        <color theme="1"/>
        <rFont val="Arial Narrow"/>
        <family val="2"/>
        <charset val="238"/>
      </rPr>
      <t xml:space="preserve"> prometnega znaka, podloga iz vroče cinkane jeklene pločevine, znak z </t>
    </r>
    <r>
      <rPr>
        <i/>
        <sz val="10"/>
        <color theme="1"/>
        <rFont val="Arial Narrow"/>
        <family val="2"/>
        <charset val="238"/>
      </rPr>
      <t>belo/rdečo</t>
    </r>
    <r>
      <rPr>
        <sz val="10"/>
        <color theme="1"/>
        <rFont val="Arial Narrow"/>
        <family val="2"/>
        <charset val="238"/>
      </rPr>
      <t xml:space="preserve"> barvo in odsevno folijo </t>
    </r>
    <r>
      <rPr>
        <i/>
        <sz val="10"/>
        <color theme="1"/>
        <rFont val="Arial Narrow"/>
        <family val="2"/>
        <charset val="238"/>
      </rPr>
      <t>RA2</t>
    </r>
    <r>
      <rPr>
        <sz val="10"/>
        <color theme="1"/>
        <rFont val="Arial Narrow"/>
        <family val="2"/>
        <charset val="238"/>
      </rPr>
      <t xml:space="preserve">, </t>
    </r>
    <r>
      <rPr>
        <i/>
        <sz val="10"/>
        <color theme="1"/>
        <rFont val="Arial Narrow"/>
        <family val="2"/>
        <charset val="238"/>
      </rPr>
      <t>premera 600 mm</t>
    </r>
    <r>
      <rPr>
        <sz val="10"/>
        <color theme="1"/>
        <rFont val="Arial Narrow"/>
        <family val="2"/>
        <charset val="238"/>
      </rPr>
      <t xml:space="preserve">  </t>
    </r>
    <r>
      <rPr>
        <i/>
        <sz val="10"/>
        <color theme="1"/>
        <rFont val="Arial Narrow"/>
        <family val="2"/>
        <charset val="238"/>
      </rPr>
      <t>(2301-1, 2217, 2226-1, 2226, 2201)</t>
    </r>
    <r>
      <rPr>
        <sz val="10"/>
        <color theme="1"/>
        <rFont val="Arial Narrow"/>
        <family val="2"/>
        <charset val="238"/>
      </rPr>
      <t xml:space="preserve">
</t>
    </r>
  </si>
  <si>
    <r>
      <t xml:space="preserve">Dobava in pritrditev prometnega znaka, podloga iz vroče cinkane jeklene pločevine, znak z </t>
    </r>
    <r>
      <rPr>
        <i/>
        <sz val="10"/>
        <color theme="1"/>
        <rFont val="Arial Narrow"/>
        <family val="2"/>
        <charset val="238"/>
      </rPr>
      <t xml:space="preserve">belo/rdečo </t>
    </r>
    <r>
      <rPr>
        <sz val="10"/>
        <color theme="1"/>
        <rFont val="Arial Narrow"/>
        <family val="2"/>
        <charset val="238"/>
      </rPr>
      <t xml:space="preserve">barvo in odsevno folijo </t>
    </r>
    <r>
      <rPr>
        <i/>
        <sz val="10"/>
        <color theme="1"/>
        <rFont val="Arial Narrow"/>
        <family val="2"/>
        <charset val="238"/>
      </rPr>
      <t>RA2</t>
    </r>
    <r>
      <rPr>
        <sz val="10"/>
        <color theme="1"/>
        <rFont val="Arial Narrow"/>
        <family val="2"/>
        <charset val="238"/>
      </rPr>
      <t xml:space="preserve">, </t>
    </r>
    <r>
      <rPr>
        <i/>
        <sz val="10"/>
        <color theme="1"/>
        <rFont val="Arial Narrow"/>
        <family val="2"/>
        <charset val="238"/>
      </rPr>
      <t>velikost od 0,11 do 0,20 m2</t>
    </r>
    <r>
      <rPr>
        <sz val="10"/>
        <color theme="1"/>
        <rFont val="Arial Narrow"/>
        <family val="2"/>
        <charset val="238"/>
      </rPr>
      <t xml:space="preserve">  </t>
    </r>
    <r>
      <rPr>
        <i/>
        <sz val="10"/>
        <color theme="1"/>
        <rFont val="Arial Narrow"/>
        <family val="2"/>
        <charset val="238"/>
      </rPr>
      <t>(3211x3, 4601x3, 4402, 4101x2, 4807)</t>
    </r>
    <r>
      <rPr>
        <sz val="10"/>
        <color theme="1"/>
        <rFont val="Arial Narrow"/>
        <family val="2"/>
        <charset val="238"/>
      </rPr>
      <t xml:space="preserve">
</t>
    </r>
  </si>
  <si>
    <r>
      <t xml:space="preserve">Dobava in pritrditev prometnega znaka, podloga iz vroče cinkane jeklene pločevine, znak z </t>
    </r>
    <r>
      <rPr>
        <i/>
        <sz val="10"/>
        <color theme="1"/>
        <rFont val="Arial Narrow"/>
        <family val="2"/>
        <charset val="238"/>
      </rPr>
      <t xml:space="preserve">belo/rdečo </t>
    </r>
    <r>
      <rPr>
        <sz val="10"/>
        <color theme="1"/>
        <rFont val="Arial Narrow"/>
        <family val="2"/>
        <charset val="238"/>
      </rPr>
      <t xml:space="preserve">barvo in odsevno folijo </t>
    </r>
    <r>
      <rPr>
        <i/>
        <sz val="10"/>
        <color theme="1"/>
        <rFont val="Arial Narrow"/>
        <family val="2"/>
        <charset val="238"/>
      </rPr>
      <t>RA2</t>
    </r>
    <r>
      <rPr>
        <sz val="10"/>
        <color theme="1"/>
        <rFont val="Arial Narrow"/>
        <family val="2"/>
        <charset val="238"/>
      </rPr>
      <t xml:space="preserve">, </t>
    </r>
    <r>
      <rPr>
        <i/>
        <sz val="10"/>
        <color theme="1"/>
        <rFont val="Arial Narrow"/>
        <family val="2"/>
        <charset val="238"/>
      </rPr>
      <t>velikost od 0,21 do 0,40 m2</t>
    </r>
    <r>
      <rPr>
        <sz val="10"/>
        <color theme="1"/>
        <rFont val="Arial Narrow"/>
        <family val="2"/>
        <charset val="238"/>
      </rPr>
      <t xml:space="preserve">  (</t>
    </r>
    <r>
      <rPr>
        <i/>
        <sz val="10"/>
        <color theme="1"/>
        <rFont val="Arial Narrow"/>
        <family val="2"/>
        <charset val="238"/>
      </rPr>
      <t>2421x3 in 2422x3</t>
    </r>
    <r>
      <rPr>
        <sz val="10"/>
        <color theme="1"/>
        <rFont val="Arial Narrow"/>
        <family val="2"/>
        <charset val="238"/>
      </rPr>
      <t xml:space="preserve">)
</t>
    </r>
  </si>
  <si>
    <r>
      <t xml:space="preserve">Dobava in pritrditev prometnega znaka, podloga iz vroče cinkane jeklene pločevine, znak z </t>
    </r>
    <r>
      <rPr>
        <i/>
        <sz val="10"/>
        <color theme="1"/>
        <rFont val="Arial Narrow"/>
        <family val="2"/>
        <charset val="238"/>
      </rPr>
      <t xml:space="preserve">belo/modro </t>
    </r>
    <r>
      <rPr>
        <sz val="10"/>
        <color theme="1"/>
        <rFont val="Arial Narrow"/>
        <family val="2"/>
        <charset val="238"/>
      </rPr>
      <t xml:space="preserve">barvo in odsevno folijo </t>
    </r>
    <r>
      <rPr>
        <i/>
        <sz val="10"/>
        <color theme="1"/>
        <rFont val="Arial Narrow"/>
        <family val="2"/>
        <charset val="238"/>
      </rPr>
      <t>RA2</t>
    </r>
    <r>
      <rPr>
        <sz val="10"/>
        <color theme="1"/>
        <rFont val="Arial Narrow"/>
        <family val="2"/>
        <charset val="238"/>
      </rPr>
      <t xml:space="preserve">, </t>
    </r>
    <r>
      <rPr>
        <i/>
        <sz val="10"/>
        <color theme="1"/>
        <rFont val="Arial Narrow"/>
        <family val="2"/>
        <charset val="238"/>
      </rPr>
      <t>velikost od 0,21 do 0,40 m2</t>
    </r>
    <r>
      <rPr>
        <sz val="10"/>
        <color theme="1"/>
        <rFont val="Arial Narrow"/>
        <family val="2"/>
        <charset val="238"/>
      </rPr>
      <t xml:space="preserve">  (</t>
    </r>
    <r>
      <rPr>
        <i/>
        <sz val="10"/>
        <color theme="1"/>
        <rFont val="Arial Narrow"/>
        <family val="2"/>
        <charset val="238"/>
      </rPr>
      <t>2432-1x2, 2425-1, 2438-3, 2438-8</t>
    </r>
    <r>
      <rPr>
        <sz val="10"/>
        <color theme="1"/>
        <rFont val="Arial Narrow"/>
        <family val="2"/>
        <charset val="238"/>
      </rPr>
      <t xml:space="preserve">)
</t>
    </r>
  </si>
  <si>
    <r>
      <t xml:space="preserve">Dobava in vgraditev </t>
    </r>
    <r>
      <rPr>
        <i/>
        <sz val="10"/>
        <color theme="1"/>
        <rFont val="Arial Narrow"/>
        <family val="2"/>
        <charset val="238"/>
      </rPr>
      <t>cestnega ogledala</t>
    </r>
    <r>
      <rPr>
        <sz val="10"/>
        <color theme="1"/>
        <rFont val="Arial Narrow"/>
        <family val="2"/>
        <charset val="238"/>
      </rPr>
      <t xml:space="preserve"> brez stebrička (temelj in stebriček upoštevan v zgornji postavki št. </t>
    </r>
    <r>
      <rPr>
        <i/>
        <sz val="10"/>
        <color theme="1"/>
        <rFont val="Arial Narrow"/>
        <family val="2"/>
        <charset val="238"/>
      </rPr>
      <t>61 112</t>
    </r>
    <r>
      <rPr>
        <sz val="10"/>
        <color theme="1"/>
        <rFont val="Arial Narrow"/>
        <family val="2"/>
        <charset val="238"/>
      </rPr>
      <t xml:space="preserve"> ali </t>
    </r>
    <r>
      <rPr>
        <i/>
        <sz val="10"/>
        <color theme="1"/>
        <rFont val="Arial Narrow"/>
        <family val="2"/>
        <charset val="238"/>
      </rPr>
      <t>61 181</t>
    </r>
    <r>
      <rPr>
        <sz val="10"/>
        <color theme="1"/>
        <rFont val="Arial Narrow"/>
        <family val="2"/>
        <charset val="238"/>
      </rPr>
      <t xml:space="preserve">)
</t>
    </r>
  </si>
  <si>
    <r>
      <t xml:space="preserve">Izdelava </t>
    </r>
    <r>
      <rPr>
        <i/>
        <sz val="10"/>
        <color theme="1"/>
        <rFont val="Arial Narrow"/>
        <family val="2"/>
        <charset val="238"/>
      </rPr>
      <t>debeloslojne</t>
    </r>
    <r>
      <rPr>
        <sz val="10"/>
        <color theme="1"/>
        <rFont val="Arial Narrow"/>
        <family val="2"/>
        <charset val="238"/>
      </rPr>
      <t xml:space="preserve"> prečne in ostalih označb na vozišču z </t>
    </r>
    <r>
      <rPr>
        <i/>
        <sz val="10"/>
        <color theme="1"/>
        <rFont val="Arial Narrow"/>
        <family val="2"/>
        <charset val="238"/>
      </rPr>
      <t>večkomponentno</t>
    </r>
    <r>
      <rPr>
        <sz val="10"/>
        <color theme="1"/>
        <rFont val="Arial Narrow"/>
        <family val="2"/>
        <charset val="238"/>
      </rPr>
      <t xml:space="preserve"> vročo plastiko</t>
    </r>
    <r>
      <rPr>
        <i/>
        <sz val="10"/>
        <color theme="1"/>
        <rFont val="Arial Narrow"/>
        <family val="2"/>
        <charset val="238"/>
      </rPr>
      <t xml:space="preserve"> bele barve</t>
    </r>
    <r>
      <rPr>
        <sz val="10"/>
        <color theme="1"/>
        <rFont val="Arial Narrow"/>
        <family val="2"/>
        <charset val="238"/>
      </rPr>
      <t xml:space="preserve"> z vmešanimi drobci / kroglicami stekla, vključno </t>
    </r>
    <r>
      <rPr>
        <i/>
        <sz val="10"/>
        <color theme="1"/>
        <rFont val="Arial Narrow"/>
        <family val="2"/>
        <charset val="238"/>
      </rPr>
      <t xml:space="preserve">250 g/m2 </t>
    </r>
    <r>
      <rPr>
        <sz val="10"/>
        <color theme="1"/>
        <rFont val="Arial Narrow"/>
        <family val="2"/>
        <charset val="238"/>
      </rPr>
      <t xml:space="preserve">dodatnega posipa z drobci stekla, strojno, debelina plasti suhe snovi </t>
    </r>
    <r>
      <rPr>
        <i/>
        <sz val="10"/>
        <color theme="1"/>
        <rFont val="Arial Narrow"/>
        <family val="2"/>
        <charset val="238"/>
      </rPr>
      <t>300 µm</t>
    </r>
    <r>
      <rPr>
        <sz val="10"/>
        <color theme="1"/>
        <rFont val="Arial Narrow"/>
        <family val="2"/>
        <charset val="238"/>
      </rPr>
      <t xml:space="preserve">, posamezna </t>
    </r>
    <r>
      <rPr>
        <i/>
        <sz val="10"/>
        <color theme="1"/>
        <rFont val="Arial Narrow"/>
        <family val="2"/>
        <charset val="238"/>
      </rPr>
      <t xml:space="preserve">površina označbe nad 1,5 m2
(5231-širine 200, 300 cm in 400 cm, 5232)
</t>
    </r>
  </si>
  <si>
    <r>
      <t xml:space="preserve">Izdelava tankoslojne vzdolžne označbe na vozišču z enokomponentno </t>
    </r>
    <r>
      <rPr>
        <i/>
        <sz val="10"/>
        <color theme="1"/>
        <rFont val="Arial Narrow"/>
        <family val="2"/>
        <charset val="238"/>
      </rPr>
      <t>belo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širina črte 10 cm (5358-2)</t>
    </r>
    <r>
      <rPr>
        <sz val="10"/>
        <color theme="1"/>
        <rFont val="Arial Narrow"/>
        <family val="2"/>
        <charset val="238"/>
      </rPr>
      <t xml:space="preserve">
</t>
    </r>
  </si>
  <si>
    <r>
      <t xml:space="preserve">Izdelava tankoslojne vzdolžne označbe na vozišču z enokomponentno </t>
    </r>
    <r>
      <rPr>
        <i/>
        <sz val="10"/>
        <color theme="1"/>
        <rFont val="Arial Narrow"/>
        <family val="2"/>
        <charset val="238"/>
      </rPr>
      <t>modro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širina črte 10 cm</t>
    </r>
    <r>
      <rPr>
        <sz val="10"/>
        <color theme="1"/>
        <rFont val="Arial Narrow"/>
        <family val="2"/>
        <charset val="238"/>
      </rPr>
      <t xml:space="preserve">
</t>
    </r>
  </si>
  <si>
    <r>
      <t xml:space="preserve">Izdelava tankoslojne vzdolžne označbe na vozišču z enokomponentno </t>
    </r>
    <r>
      <rPr>
        <i/>
        <sz val="10"/>
        <color theme="1"/>
        <rFont val="Arial Narrow"/>
        <family val="2"/>
        <charset val="238"/>
      </rPr>
      <t>belo barvo</t>
    </r>
    <r>
      <rPr>
        <sz val="10"/>
        <color theme="1"/>
        <rFont val="Arial Narrow"/>
        <family val="2"/>
        <charset val="238"/>
      </rPr>
      <t>, vključno 250 g/m2 posipa z drobci / kroglicami stekla, strojno, debelina plasti suhe snovi 200 µm,</t>
    </r>
    <r>
      <rPr>
        <i/>
        <sz val="10"/>
        <color theme="1"/>
        <rFont val="Arial Narrow"/>
        <family val="2"/>
        <charset val="238"/>
      </rPr>
      <t xml:space="preserve"> širina črte 15 cm</t>
    </r>
    <r>
      <rPr>
        <sz val="10"/>
        <color theme="1"/>
        <rFont val="Arial Narrow"/>
        <family val="2"/>
        <charset val="238"/>
      </rPr>
      <t xml:space="preserve"> </t>
    </r>
    <r>
      <rPr>
        <i/>
        <sz val="10"/>
        <color theme="1"/>
        <rFont val="Arial Narrow"/>
        <family val="2"/>
        <charset val="238"/>
      </rPr>
      <t>(5121)</t>
    </r>
    <r>
      <rPr>
        <sz val="10"/>
        <color theme="1"/>
        <rFont val="Arial Narrow"/>
        <family val="2"/>
        <charset val="238"/>
      </rPr>
      <t xml:space="preserve">
</t>
    </r>
  </si>
  <si>
    <r>
      <t xml:space="preserve">Doplačilo za izdelavo </t>
    </r>
    <r>
      <rPr>
        <i/>
        <sz val="10"/>
        <color theme="1"/>
        <rFont val="Arial Narrow"/>
        <family val="2"/>
        <charset val="238"/>
      </rPr>
      <t xml:space="preserve">prekinjenih </t>
    </r>
    <r>
      <rPr>
        <sz val="10"/>
        <color theme="1"/>
        <rFont val="Arial Narrow"/>
        <family val="2"/>
        <charset val="238"/>
      </rPr>
      <t xml:space="preserve">vzdolžnih označb na vozišču, </t>
    </r>
    <r>
      <rPr>
        <i/>
        <sz val="10"/>
        <color theme="1"/>
        <rFont val="Arial Narrow"/>
        <family val="2"/>
        <charset val="238"/>
      </rPr>
      <t>širina črte 15 cm</t>
    </r>
    <r>
      <rPr>
        <sz val="10"/>
        <color theme="1"/>
        <rFont val="Arial Narrow"/>
        <family val="2"/>
        <charset val="238"/>
      </rPr>
      <t xml:space="preserve">
</t>
    </r>
  </si>
  <si>
    <r>
      <t xml:space="preserve">Izdelava dvokomponentne hladne plastike (v teksturi čepov) za nanos 15 cm robnih taktilnih linij, trajne označbe na vozišču, vključno s predhodnim premazom podlage, posamezna površina označbe od 0,6 do 1,0 m2 </t>
    </r>
    <r>
      <rPr>
        <i/>
        <sz val="10"/>
        <rFont val="Arial Narrow"/>
        <family val="2"/>
        <charset val="238"/>
      </rPr>
      <t xml:space="preserve"> (robna taktilna linija - čez prehod za pešce)</t>
    </r>
    <r>
      <rPr>
        <sz val="10"/>
        <rFont val="Arial Narrow"/>
        <family val="2"/>
        <charset val="238"/>
      </rPr>
      <t xml:space="preserve">
</t>
    </r>
  </si>
  <si>
    <r>
      <t xml:space="preserve">Izdelava tankoslojne vzdolžne označbe na vozišču z enokomponentno </t>
    </r>
    <r>
      <rPr>
        <i/>
        <sz val="10"/>
        <color theme="1"/>
        <rFont val="Arial Narrow"/>
        <family val="2"/>
        <charset val="238"/>
      </rPr>
      <t>rumeno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širina črte 30 cm  ( 5333-2 )</t>
    </r>
    <r>
      <rPr>
        <sz val="10"/>
        <color theme="1"/>
        <rFont val="Arial Narrow"/>
        <family val="2"/>
        <charset val="238"/>
      </rPr>
      <t xml:space="preserve">
</t>
    </r>
  </si>
  <si>
    <r>
      <t>Izdelava tankoslojne vzdolžne označbe na vozišču z enokomponentno</t>
    </r>
    <r>
      <rPr>
        <i/>
        <sz val="10"/>
        <color theme="1"/>
        <rFont val="Arial Narrow"/>
        <family val="2"/>
        <charset val="238"/>
      </rPr>
      <t xml:space="preserve"> zeleno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širina črte 10 cm</t>
    </r>
    <r>
      <rPr>
        <sz val="10"/>
        <color theme="1"/>
        <rFont val="Arial Narrow"/>
        <family val="2"/>
        <charset val="238"/>
      </rPr>
      <t xml:space="preserve">
</t>
    </r>
  </si>
  <si>
    <r>
      <t>Izdelava tankoslojne prečne in ostalih označb na vozišču z enokomponentno</t>
    </r>
    <r>
      <rPr>
        <i/>
        <sz val="10"/>
        <color theme="1"/>
        <rFont val="Arial Narrow"/>
        <family val="2"/>
        <charset val="238"/>
      </rPr>
      <t xml:space="preserve"> zeleno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površina označbe do 0,5 m2</t>
    </r>
    <r>
      <rPr>
        <sz val="10"/>
        <color theme="1"/>
        <rFont val="Arial Narrow"/>
        <family val="2"/>
        <charset val="238"/>
      </rPr>
      <t xml:space="preserve"> </t>
    </r>
    <r>
      <rPr>
        <i/>
        <sz val="10"/>
        <color theme="1"/>
        <rFont val="Arial Narrow"/>
        <family val="2"/>
        <charset val="238"/>
      </rPr>
      <t>(5611-2)</t>
    </r>
    <r>
      <rPr>
        <sz val="10"/>
        <color theme="1"/>
        <rFont val="Arial Narrow"/>
        <family val="2"/>
        <charset val="238"/>
      </rPr>
      <t xml:space="preserve">
</t>
    </r>
  </si>
  <si>
    <r>
      <t>Izdelava tankoslojne prečne in ostalih označb na vozišču z enokomponentno</t>
    </r>
    <r>
      <rPr>
        <i/>
        <sz val="10"/>
        <color theme="1"/>
        <rFont val="Arial Narrow"/>
        <family val="2"/>
        <charset val="238"/>
      </rPr>
      <t xml:space="preserve"> belo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površina označbe do 0,5 m2</t>
    </r>
    <r>
      <rPr>
        <sz val="10"/>
        <color theme="1"/>
        <rFont val="Arial Narrow"/>
        <family val="2"/>
        <charset val="238"/>
      </rPr>
      <t xml:space="preserve"> </t>
    </r>
    <r>
      <rPr>
        <i/>
        <sz val="10"/>
        <color theme="1"/>
        <rFont val="Arial Narrow"/>
        <family val="2"/>
        <charset val="238"/>
      </rPr>
      <t>(5608)</t>
    </r>
    <r>
      <rPr>
        <sz val="10"/>
        <color theme="1"/>
        <rFont val="Arial Narrow"/>
        <family val="2"/>
        <charset val="238"/>
      </rPr>
      <t xml:space="preserve">
</t>
    </r>
  </si>
  <si>
    <t>62 225</t>
  </si>
  <si>
    <r>
      <t xml:space="preserve">Izdelava tankoslojne prečne in ostalih označb na vozišču z enokomponentno </t>
    </r>
    <r>
      <rPr>
        <i/>
        <sz val="10"/>
        <color theme="1"/>
        <rFont val="Arial Narrow"/>
        <family val="2"/>
        <charset val="238"/>
      </rPr>
      <t>belo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 xml:space="preserve">površina označbe 0,6 do 1,0 m2 </t>
    </r>
    <r>
      <rPr>
        <sz val="10"/>
        <color theme="1"/>
        <rFont val="Arial Narrow"/>
        <family val="2"/>
        <charset val="238"/>
      </rPr>
      <t xml:space="preserve"> </t>
    </r>
    <r>
      <rPr>
        <i/>
        <sz val="10"/>
        <color theme="1"/>
        <rFont val="Arial Narrow"/>
        <family val="2"/>
        <charset val="238"/>
      </rPr>
      <t>(5607)</t>
    </r>
    <r>
      <rPr>
        <sz val="10"/>
        <color theme="1"/>
        <rFont val="Arial Narrow"/>
        <family val="2"/>
        <charset val="238"/>
      </rPr>
      <t xml:space="preserve">
</t>
    </r>
  </si>
  <si>
    <r>
      <t xml:space="preserve">Izdelava </t>
    </r>
    <r>
      <rPr>
        <i/>
        <sz val="10"/>
        <color theme="1"/>
        <rFont val="Arial Narrow"/>
        <family val="2"/>
        <charset val="238"/>
      </rPr>
      <t>debeloslojne</t>
    </r>
    <r>
      <rPr>
        <sz val="10"/>
        <color theme="1"/>
        <rFont val="Arial Narrow"/>
        <family val="2"/>
        <charset val="238"/>
      </rPr>
      <t xml:space="preserve"> prečne in ostalih označb na vozišču z </t>
    </r>
    <r>
      <rPr>
        <i/>
        <sz val="10"/>
        <color theme="1"/>
        <rFont val="Arial Narrow"/>
        <family val="2"/>
        <charset val="238"/>
      </rPr>
      <t>večkomponentno</t>
    </r>
    <r>
      <rPr>
        <sz val="10"/>
        <color theme="1"/>
        <rFont val="Arial Narrow"/>
        <family val="2"/>
        <charset val="238"/>
      </rPr>
      <t xml:space="preserve"> vročo plastiko</t>
    </r>
    <r>
      <rPr>
        <i/>
        <sz val="10"/>
        <color theme="1"/>
        <rFont val="Arial Narrow"/>
        <family val="2"/>
        <charset val="238"/>
      </rPr>
      <t xml:space="preserve"> bele barve</t>
    </r>
    <r>
      <rPr>
        <sz val="10"/>
        <color theme="1"/>
        <rFont val="Arial Narrow"/>
        <family val="2"/>
        <charset val="238"/>
      </rPr>
      <t xml:space="preserve"> z vmešanimi drobci / kroglicami stekla, vključno </t>
    </r>
    <r>
      <rPr>
        <i/>
        <sz val="10"/>
        <color theme="1"/>
        <rFont val="Arial Narrow"/>
        <family val="2"/>
        <charset val="238"/>
      </rPr>
      <t>250 g/m2</t>
    </r>
    <r>
      <rPr>
        <sz val="10"/>
        <color theme="1"/>
        <rFont val="Arial Narrow"/>
        <family val="2"/>
        <charset val="238"/>
      </rPr>
      <t xml:space="preserve"> dodatnega posipa z drobci stekla, strojno, debelina plasti suhe snovi </t>
    </r>
    <r>
      <rPr>
        <i/>
        <sz val="10"/>
        <color theme="1"/>
        <rFont val="Arial Narrow"/>
        <family val="2"/>
        <charset val="238"/>
      </rPr>
      <t>300 µm</t>
    </r>
    <r>
      <rPr>
        <sz val="10"/>
        <color theme="1"/>
        <rFont val="Arial Narrow"/>
        <family val="2"/>
        <charset val="238"/>
      </rPr>
      <t xml:space="preserve">, posamezna </t>
    </r>
    <r>
      <rPr>
        <i/>
        <sz val="10"/>
        <color theme="1"/>
        <rFont val="Arial Narrow"/>
        <family val="2"/>
        <charset val="238"/>
      </rPr>
      <t xml:space="preserve">površina označbe do 0,5 m2
(puščice na kolesarski stezi - 5461, 5464; 5604)
</t>
    </r>
  </si>
  <si>
    <r>
      <t xml:space="preserve">Izdelava tankoslojne prečne in ostalih označb na vozišču z enokomponentno </t>
    </r>
    <r>
      <rPr>
        <i/>
        <sz val="10"/>
        <color theme="1"/>
        <rFont val="Arial Narrow"/>
        <family val="2"/>
        <charset val="238"/>
      </rPr>
      <t>rumeno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površina označbe nad 1,5 m2  (5333-2, bus, območje)</t>
    </r>
    <r>
      <rPr>
        <sz val="10"/>
        <color theme="1"/>
        <rFont val="Arial Narrow"/>
        <family val="2"/>
        <charset val="238"/>
      </rPr>
      <t xml:space="preserve">
</t>
    </r>
  </si>
  <si>
    <r>
      <t xml:space="preserve">Izdelava tankoslojne vzdolžne označbe na vozišču z enokomponentno </t>
    </r>
    <r>
      <rPr>
        <i/>
        <sz val="10"/>
        <color theme="1"/>
        <rFont val="Arial Narrow"/>
        <family val="2"/>
        <charset val="238"/>
      </rPr>
      <t>belo barvo</t>
    </r>
    <r>
      <rPr>
        <sz val="10"/>
        <color theme="1"/>
        <rFont val="Arial Narrow"/>
        <family val="2"/>
        <charset val="238"/>
      </rPr>
      <t xml:space="preserve">, vključno 250 g/m2 posipa z drobci / kroglicami stekla, strojno, debelina plasti suhe snovi 200 µm, </t>
    </r>
    <r>
      <rPr>
        <i/>
        <sz val="10"/>
        <color theme="1"/>
        <rFont val="Arial Narrow"/>
        <family val="2"/>
        <charset val="238"/>
      </rPr>
      <t>širina črte 30 cm</t>
    </r>
    <r>
      <rPr>
        <sz val="10"/>
        <color theme="1"/>
        <rFont val="Arial Narrow"/>
        <family val="2"/>
        <charset val="238"/>
      </rPr>
      <t xml:space="preserve"> (</t>
    </r>
    <r>
      <rPr>
        <i/>
        <sz val="10"/>
        <color theme="1"/>
        <rFont val="Arial Narrow"/>
        <family val="2"/>
        <charset val="238"/>
      </rPr>
      <t>5212-stop črta na kolesarskem pasu</t>
    </r>
    <r>
      <rPr>
        <sz val="10"/>
        <color theme="1"/>
        <rFont val="Arial Narrow"/>
        <family val="2"/>
        <charset val="238"/>
      </rPr>
      <t xml:space="preserve">)
</t>
    </r>
  </si>
  <si>
    <r>
      <t xml:space="preserve">Izdelava </t>
    </r>
    <r>
      <rPr>
        <i/>
        <sz val="10"/>
        <rFont val="Arial Narrow"/>
        <family val="2"/>
        <charset val="238"/>
      </rPr>
      <t>debeloslojne</t>
    </r>
    <r>
      <rPr>
        <sz val="10"/>
        <rFont val="Arial Narrow"/>
        <family val="2"/>
        <charset val="238"/>
      </rPr>
      <t xml:space="preserve"> vzdolžne označbe na vozišču z </t>
    </r>
    <r>
      <rPr>
        <i/>
        <sz val="10"/>
        <rFont val="Arial Narrow"/>
        <family val="2"/>
        <charset val="238"/>
      </rPr>
      <t>večkomponentno</t>
    </r>
    <r>
      <rPr>
        <sz val="10"/>
        <rFont val="Arial Narrow"/>
        <family val="2"/>
        <charset val="238"/>
      </rPr>
      <t xml:space="preserve"> vročo plastiko</t>
    </r>
    <r>
      <rPr>
        <i/>
        <sz val="10"/>
        <rFont val="Arial Narrow"/>
        <family val="2"/>
        <charset val="238"/>
      </rPr>
      <t xml:space="preserve"> bele barve</t>
    </r>
    <r>
      <rPr>
        <sz val="10"/>
        <rFont val="Arial Narrow"/>
        <family val="2"/>
        <charset val="238"/>
      </rPr>
      <t xml:space="preserve">, vključno </t>
    </r>
    <r>
      <rPr>
        <i/>
        <sz val="10"/>
        <rFont val="Arial Narrow"/>
        <family val="2"/>
        <charset val="238"/>
      </rPr>
      <t>250 g/m2</t>
    </r>
    <r>
      <rPr>
        <sz val="10"/>
        <rFont val="Arial Narrow"/>
        <family val="2"/>
        <charset val="238"/>
      </rPr>
      <t xml:space="preserve"> posipa z drobci / kroglicami stekla, strojno, debelina plasti suhe snovi </t>
    </r>
    <r>
      <rPr>
        <i/>
        <sz val="10"/>
        <rFont val="Arial Narrow"/>
        <family val="2"/>
        <charset val="238"/>
      </rPr>
      <t>300 µm</t>
    </r>
    <r>
      <rPr>
        <sz val="10"/>
        <rFont val="Arial Narrow"/>
        <family val="2"/>
        <charset val="238"/>
      </rPr>
      <t xml:space="preserve">, </t>
    </r>
    <r>
      <rPr>
        <i/>
        <sz val="10"/>
        <rFont val="Arial Narrow"/>
        <family val="2"/>
        <charset val="238"/>
      </rPr>
      <t>širina črte 12 cm</t>
    </r>
    <r>
      <rPr>
        <sz val="10"/>
        <rFont val="Arial Narrow"/>
        <family val="2"/>
        <charset val="238"/>
      </rPr>
      <t xml:space="preserve"> (</t>
    </r>
    <r>
      <rPr>
        <i/>
        <sz val="10"/>
        <rFont val="Arial Narrow"/>
        <family val="2"/>
        <charset val="238"/>
      </rPr>
      <t>5121-3, 5121</t>
    </r>
    <r>
      <rPr>
        <sz val="10"/>
        <rFont val="Arial Narrow"/>
        <family val="2"/>
        <charset val="238"/>
      </rPr>
      <t xml:space="preserve">)
</t>
    </r>
  </si>
  <si>
    <r>
      <t xml:space="preserve">Dobava in vgraditev </t>
    </r>
    <r>
      <rPr>
        <i/>
        <sz val="10"/>
        <color theme="1"/>
        <rFont val="Arial Narrow"/>
        <family val="2"/>
        <charset val="238"/>
      </rPr>
      <t>LTŽ stebrička (istega tipa kot so na Ulici 7. septembra - stebriček s polkroglo)</t>
    </r>
    <r>
      <rPr>
        <sz val="10"/>
        <color theme="1"/>
        <rFont val="Arial Narrow"/>
        <family val="2"/>
        <charset val="238"/>
      </rPr>
      <t xml:space="preserve">
</t>
    </r>
  </si>
  <si>
    <r>
      <t xml:space="preserve">Dobava, izkop potrebne luknje in zasaditev raznih drevesnih in grmovnih vrst na zelenici, visokih od 3,5 m do 4,0 m
</t>
    </r>
    <r>
      <rPr>
        <i/>
        <sz val="10"/>
        <color theme="1"/>
        <rFont val="Arial Narrow"/>
        <family val="2"/>
        <charset val="238"/>
      </rPr>
      <t xml:space="preserve">(vključno z humusirano zemljino, drevesna sorta - okrasna hruška "Pyrus calleriana 'Chanticleer"), zaščita debla in rešetka je upoštevana v postavki pod obrtniškimi deli
</t>
    </r>
  </si>
  <si>
    <t>52 110</t>
  </si>
  <si>
    <r>
      <t xml:space="preserve">Dobava in postavitev okrogle drevesne rešetke iz vročecinkane kovinske podkonstrukcije, vključno z okvirjem in litoželezno talno rešetko, ki je zaščitena s protikorozijskim premazom. Dvodelno jekleno podkonstrukcijo se namesti okrog sadike drevesa, polovici se med seboj privijači in položi na montažni betonski temelj. Posamezni segmenti rešetke (četrtine) se nato položijo na jekleno podkonstrukcijo in privijačijo.
(okrogle rešetke tip: "ACO STANDARD" - zunanji premer 200cm, premer odprtine 70cm)
</t>
    </r>
    <r>
      <rPr>
        <i/>
        <sz val="10"/>
        <color theme="1"/>
        <rFont val="Arial Narrow"/>
        <family val="2"/>
        <charset val="238"/>
      </rPr>
      <t xml:space="preserve">*Vključno z montažnim temeljem in potrebnim pritrdilnim materialom
</t>
    </r>
  </si>
  <si>
    <r>
      <t xml:space="preserve">Dobava in postavitev okrogle drevesne rešetke iz vročecinkane kovinske podkonstrukcije, vključno z okvirjem in litoželezno talno rešetko, ki je zaščitena s protikorozijskim premazom. Dvodelno jekleno podkonstrukcijo se namesti okrog sadike drevesa, polovici se med seboj privijači in položi na montažni betonski temelj. Posamezni segmenti rešetke (četrtine) se nato položijo na jekleno podkonstrukcijo in privijačijo.
(okrogle rešetke tip: "ACO STANDARD" - zunanji premer 150cm, premer odprtine 70cm)
</t>
    </r>
    <r>
      <rPr>
        <i/>
        <sz val="10"/>
        <color theme="1"/>
        <rFont val="Arial Narrow"/>
        <family val="2"/>
        <charset val="238"/>
      </rPr>
      <t xml:space="preserve">*Vključno z montažnim temeljem in potrebnim pritrdilnim materialom
</t>
    </r>
  </si>
  <si>
    <r>
      <t xml:space="preserve">Dobava in postavitev zaščitne mreže za deblo okrogle oblike.
(kot npr: "ACO WOTAN VIDAR" - premer spodaj 780mm)
</t>
    </r>
    <r>
      <rPr>
        <i/>
        <sz val="10"/>
        <color theme="1"/>
        <rFont val="Arial Narrow"/>
        <family val="2"/>
        <charset val="238"/>
      </rPr>
      <t xml:space="preserve">*Vključno z montažnim in pritrdilnim materialom
</t>
    </r>
  </si>
  <si>
    <r>
      <t xml:space="preserve">Izdelava </t>
    </r>
    <r>
      <rPr>
        <i/>
        <sz val="10"/>
        <rFont val="Arial Narrow"/>
        <family val="2"/>
        <charset val="238"/>
      </rPr>
      <t>priklopa</t>
    </r>
    <r>
      <rPr>
        <sz val="10"/>
        <rFont val="Arial Narrow"/>
        <family val="2"/>
        <charset val="238"/>
      </rPr>
      <t xml:space="preserve"> z novim</t>
    </r>
    <r>
      <rPr>
        <i/>
        <sz val="10"/>
        <rFont val="Arial Narrow"/>
        <family val="2"/>
        <charset val="238"/>
      </rPr>
      <t xml:space="preserve"> vpadnikom</t>
    </r>
    <r>
      <rPr>
        <sz val="10"/>
        <rFont val="Arial Narrow"/>
        <family val="2"/>
        <charset val="238"/>
      </rPr>
      <t xml:space="preserve"> na obstoječ mešan kanal
</t>
    </r>
    <r>
      <rPr>
        <i/>
        <sz val="10"/>
        <rFont val="Arial Narrow"/>
        <family val="2"/>
        <charset val="238"/>
      </rPr>
      <t>*na vpadnik povezana pretežno dva vtočna jaška</t>
    </r>
    <r>
      <rPr>
        <sz val="10"/>
        <rFont val="Arial Narrow"/>
        <family val="2"/>
        <charset val="238"/>
      </rPr>
      <t xml:space="preserve">
</t>
    </r>
  </si>
  <si>
    <t>41 645</t>
  </si>
  <si>
    <t>41 657</t>
  </si>
  <si>
    <r>
      <t xml:space="preserve">Dobava in vgradnja linijske kanalete iz betona armiranega z vlakni, dolžine 1m, višine 200 mm in širine 210 mm. Kanaleta se izvede s polaganjem na podložni beton debeline 15 cm, ter bočnim obbetoniranjem kanalete. Komplet z vsem priborom za montažo, 
kot npr.: </t>
    </r>
    <r>
      <rPr>
        <i/>
        <sz val="10"/>
        <rFont val="Arial Narrow"/>
        <family val="2"/>
        <charset val="238"/>
      </rPr>
      <t>Hauraton Faserfix standard 150, tip 01 (linijske rešetke)</t>
    </r>
  </si>
  <si>
    <r>
      <t xml:space="preserve">Dobava in vgradnja pokrova z asimetrično rego, za kanaleto, izdelan iz pocinkanega jekla debeline 4,0 mm po celotnem obodu rege. Svetla odprtina rege je minimalno 18 mm. Za razred obremenitve A15 - E600, skladno z EN1433. Višina vratu je 200 mm. Dolžina pokrova je 1000 mm
kot npr.: </t>
    </r>
    <r>
      <rPr>
        <i/>
        <sz val="10"/>
        <rFont val="Arial Narrow"/>
        <family val="2"/>
        <charset val="238"/>
      </rPr>
      <t xml:space="preserve">Hauraton Faserfix standard 150
</t>
    </r>
  </si>
  <si>
    <r>
      <t xml:space="preserve">Dobava in vgradnja </t>
    </r>
    <r>
      <rPr>
        <i/>
        <sz val="10"/>
        <rFont val="Arial Narrow"/>
        <family val="2"/>
        <charset val="238"/>
      </rPr>
      <t>zaključne polne čelne stene</t>
    </r>
    <r>
      <rPr>
        <sz val="10"/>
        <rFont val="Arial Narrow"/>
        <family val="2"/>
        <charset val="238"/>
      </rPr>
      <t xml:space="preserve"> iz PP ter vsem potrebnim drobnim materialom
kot npr.: </t>
    </r>
    <r>
      <rPr>
        <i/>
        <sz val="10"/>
        <rFont val="Arial Narrow"/>
        <family val="2"/>
        <charset val="238"/>
      </rPr>
      <t>Hauraton zaključna stena iz PE-PP za tip 01</t>
    </r>
    <r>
      <rPr>
        <sz val="10"/>
        <rFont val="Arial Narrow"/>
        <family val="2"/>
        <charset val="238"/>
      </rPr>
      <t xml:space="preserve">
</t>
    </r>
  </si>
  <si>
    <r>
      <t xml:space="preserve">Dobava in vgradnja zaključne čelne stene z iztokom DN160, z zaščitnim robom in tesnilom cevi, iz PE-PP, kot npr.: </t>
    </r>
    <r>
      <rPr>
        <i/>
        <sz val="10"/>
        <rFont val="Arial Narrow"/>
        <family val="2"/>
        <charset val="238"/>
      </rPr>
      <t>Hauraton zaključna stena iz PE-PP za tip 01</t>
    </r>
    <r>
      <rPr>
        <sz val="10"/>
        <rFont val="Arial Narrow"/>
        <family val="2"/>
        <charset val="238"/>
      </rPr>
      <t xml:space="preserve">
</t>
    </r>
  </si>
  <si>
    <r>
      <t>Dobava in vgradnja peskolova</t>
    </r>
    <r>
      <rPr>
        <i/>
        <sz val="10"/>
        <rFont val="Arial Narrow"/>
        <family val="2"/>
        <charset val="238"/>
      </rPr>
      <t xml:space="preserve"> iz betona armiranega z vlakni, s plastičnim vedrom za čiščenje, s pripravljenim iztokom DN/OD 160, dolžina 0,5m, višina 583mm, širina 210mm</t>
    </r>
    <r>
      <rPr>
        <sz val="10"/>
        <rFont val="Arial Narrow"/>
        <family val="2"/>
        <charset val="238"/>
      </rPr>
      <t xml:space="preserve">, kot npr.: </t>
    </r>
    <r>
      <rPr>
        <i/>
        <sz val="10"/>
        <rFont val="Arial Narrow"/>
        <family val="2"/>
        <charset val="238"/>
      </rPr>
      <t>Hauraton Faserfix standard 150-peskolov</t>
    </r>
    <r>
      <rPr>
        <sz val="10"/>
        <rFont val="Arial Narrow"/>
        <family val="2"/>
        <charset val="238"/>
      </rPr>
      <t xml:space="preserve">
</t>
    </r>
  </si>
  <si>
    <r>
      <t xml:space="preserve">Dobava in vgradnja revizijskega pokrova z asimetrično rego, za kanaleto, izdelan iz pocinkanega jekla debeline 4,0 mm po celotnem obodu rege. Svetla odprtina rege je minimalno 18 mm. Za razred obremenitve A15 - E600, skladno z EN1433. Višina vratu je 200 mm. Dolžina pokrova je 500 mm
kot npr.: </t>
    </r>
    <r>
      <rPr>
        <i/>
        <sz val="10"/>
        <rFont val="Arial Narrow"/>
        <family val="2"/>
        <charset val="238"/>
      </rPr>
      <t xml:space="preserve">Hauraton Faserfix standard 150
</t>
    </r>
  </si>
  <si>
    <r>
      <t xml:space="preserve">Izdelava obrabne in drenažne plasti bituminizirane zmesi PA 8 PmB 45/80-65 A3 v debelini 4,0 cm ( </t>
    </r>
    <r>
      <rPr>
        <i/>
        <sz val="10"/>
        <color theme="1"/>
        <rFont val="Arial Narrow"/>
        <family val="2"/>
        <charset val="238"/>
      </rPr>
      <t xml:space="preserve">bus postajališče </t>
    </r>
    <r>
      <rPr>
        <sz val="10"/>
        <color theme="1"/>
        <rFont val="Arial Narrow"/>
        <family val="2"/>
        <charset val="238"/>
      </rPr>
      <t xml:space="preserve">)
</t>
    </r>
  </si>
  <si>
    <t>55 101</t>
  </si>
  <si>
    <t xml:space="preserve">Izvedba temelja za postajo za elektro polnilnico vozil. Izvede se celotna gradbena predpriprava za naknadno montažo e-polnilnice za vozila. 
(AB temelj, vključno s sidri za kasnejšo namestitev polnilnice.)
</t>
  </si>
  <si>
    <t>8.    NEPREDVIDENA DELA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</si>
</sst>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9" x14ac:knownFonts="1">
    <font>
      <sz val="11"/>
      <color theme="1"/>
      <name val="Calibri"/>
      <family val="2"/>
      <charset val="238"/>
      <scheme val="minor"/>
    </font>
    <font>
      <b/>
      <sz val="11"/>
      <color rgb="FF3F3F3F"/>
      <name val="Calibri"/>
      <family val="2"/>
      <charset val="238"/>
      <scheme val="minor"/>
    </font>
    <font>
      <sz val="10"/>
      <color theme="1"/>
      <name val="Arial Narrow"/>
      <family val="2"/>
      <charset val="238"/>
    </font>
    <font>
      <b/>
      <sz val="10"/>
      <color rgb="FF3F3F3F"/>
      <name val="Arial Narrow"/>
      <family val="2"/>
      <charset val="238"/>
    </font>
    <font>
      <b/>
      <sz val="12"/>
      <color theme="1"/>
      <name val="Arial Narrow"/>
      <family val="2"/>
      <charset val="238"/>
    </font>
    <font>
      <sz val="8"/>
      <color rgb="FFFF0000"/>
      <name val="Arial Narrow"/>
      <family val="2"/>
      <charset val="238"/>
    </font>
    <font>
      <b/>
      <i/>
      <sz val="11"/>
      <color theme="1"/>
      <name val="Arial Narrow"/>
      <family val="2"/>
      <charset val="238"/>
    </font>
    <font>
      <b/>
      <i/>
      <sz val="8"/>
      <color rgb="FFFF0000"/>
      <name val="Arial Narrow"/>
      <family val="2"/>
      <charset val="238"/>
    </font>
    <font>
      <sz val="10"/>
      <color rgb="FFFF0000"/>
      <name val="Arial Narrow"/>
      <family val="2"/>
      <charset val="238"/>
    </font>
    <font>
      <b/>
      <sz val="8"/>
      <color rgb="FFFF0000"/>
      <name val="Arial Narrow"/>
      <family val="2"/>
      <charset val="238"/>
    </font>
    <font>
      <b/>
      <sz val="10"/>
      <color theme="1"/>
      <name val="Arial Narrow"/>
      <family val="2"/>
      <charset val="238"/>
    </font>
    <font>
      <b/>
      <sz val="10"/>
      <color rgb="FFFF0000"/>
      <name val="Arial Narrow"/>
      <family val="2"/>
      <charset val="238"/>
    </font>
    <font>
      <i/>
      <sz val="11"/>
      <color theme="1"/>
      <name val="Arial Narrow"/>
      <family val="2"/>
      <charset val="238"/>
    </font>
    <font>
      <sz val="11"/>
      <color theme="1"/>
      <name val="Arial Narrow"/>
      <family val="2"/>
      <charset val="238"/>
    </font>
    <font>
      <b/>
      <sz val="13"/>
      <name val="Arial Narrow"/>
      <family val="2"/>
      <charset val="238"/>
    </font>
    <font>
      <b/>
      <sz val="12"/>
      <name val="Arial Narrow"/>
      <family val="2"/>
      <charset val="238"/>
    </font>
    <font>
      <sz val="11"/>
      <name val="Arial Narrow"/>
      <family val="2"/>
      <charset val="238"/>
    </font>
    <font>
      <b/>
      <sz val="11"/>
      <color rgb="FFFF0000"/>
      <name val="Arial Narrow"/>
      <family val="2"/>
      <charset val="238"/>
    </font>
    <font>
      <i/>
      <sz val="10"/>
      <color theme="1"/>
      <name val="Arial Narrow"/>
      <family val="2"/>
      <charset val="238"/>
    </font>
    <font>
      <sz val="10"/>
      <name val="Arial Narrow"/>
      <family val="2"/>
      <charset val="238"/>
    </font>
    <font>
      <sz val="8"/>
      <name val="Arial Narrow"/>
      <family val="2"/>
      <charset val="238"/>
    </font>
    <font>
      <b/>
      <sz val="10"/>
      <name val="Arial Narrow"/>
      <family val="2"/>
      <charset val="238"/>
    </font>
    <font>
      <b/>
      <i/>
      <sz val="8"/>
      <name val="Arial Narrow"/>
      <family val="2"/>
      <charset val="238"/>
    </font>
    <font>
      <b/>
      <sz val="8"/>
      <name val="Arial Narrow"/>
      <family val="2"/>
      <charset val="238"/>
    </font>
    <font>
      <b/>
      <sz val="10"/>
      <color rgb="FF00B050"/>
      <name val="Arial Narrow"/>
      <family val="2"/>
      <charset val="238"/>
    </font>
    <font>
      <b/>
      <sz val="10"/>
      <color rgb="FF92D050"/>
      <name val="Arial Narrow"/>
      <family val="2"/>
      <charset val="238"/>
    </font>
    <font>
      <b/>
      <sz val="10"/>
      <color theme="6" tint="-0.249977111117893"/>
      <name val="Arial Narrow"/>
      <family val="2"/>
      <charset val="238"/>
    </font>
    <font>
      <sz val="12"/>
      <color theme="1"/>
      <name val="Arial Narrow"/>
      <family val="2"/>
      <charset val="238"/>
    </font>
    <font>
      <i/>
      <sz val="10"/>
      <name val="Arial Narrow"/>
      <family val="2"/>
      <charset val="238"/>
    </font>
  </fonts>
  <fills count="14">
    <fill>
      <patternFill patternType="none"/>
    </fill>
    <fill>
      <patternFill patternType="gray125"/>
    </fill>
    <fill>
      <patternFill patternType="solid">
        <fgColor rgb="FFF2F2F2"/>
      </patternFill>
    </fill>
    <fill>
      <patternFill patternType="solid">
        <fgColor theme="0" tint="-0.249977111117893"/>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9" tint="0.79998168889431442"/>
        <bgColor indexed="64"/>
      </patternFill>
    </fill>
  </fills>
  <borders count="13">
    <border>
      <left/>
      <right/>
      <top/>
      <bottom/>
      <diagonal/>
    </border>
    <border>
      <left style="thin">
        <color rgb="FF3F3F3F"/>
      </left>
      <right style="thin">
        <color rgb="FF3F3F3F"/>
      </right>
      <top style="thin">
        <color rgb="FF3F3F3F"/>
      </top>
      <bottom style="thin">
        <color rgb="FF3F3F3F"/>
      </bottom>
      <diagonal/>
    </border>
    <border>
      <left/>
      <right/>
      <top style="thin">
        <color rgb="FF3F3F3F"/>
      </top>
      <bottom/>
      <diagonal/>
    </border>
    <border>
      <left/>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diagonal/>
    </border>
    <border>
      <left style="hair">
        <color indexed="64"/>
      </left>
      <right style="hair">
        <color indexed="64"/>
      </right>
      <top style="hair">
        <color indexed="64"/>
      </top>
      <bottom style="hair">
        <color indexed="64"/>
      </bottom>
      <diagonal/>
    </border>
  </borders>
  <cellStyleXfs count="2">
    <xf numFmtId="0" fontId="0" fillId="0" borderId="0"/>
    <xf numFmtId="0" fontId="1" fillId="2" borderId="1" applyNumberFormat="0" applyAlignment="0" applyProtection="0"/>
  </cellStyleXfs>
  <cellXfs count="116">
    <xf numFmtId="0" fontId="0" fillId="0" borderId="0" xfId="0"/>
    <xf numFmtId="0" fontId="2" fillId="0" borderId="0" xfId="0" applyFont="1" applyAlignment="1">
      <alignment horizontal="left" wrapText="1"/>
    </xf>
    <xf numFmtId="0" fontId="2" fillId="0" borderId="0" xfId="0" applyFont="1" applyAlignment="1">
      <alignment vertical="top" wrapText="1"/>
    </xf>
    <xf numFmtId="0" fontId="2" fillId="0" borderId="0" xfId="0" applyFont="1" applyAlignment="1">
      <alignment horizontal="center" vertical="top" wrapText="1"/>
    </xf>
    <xf numFmtId="0" fontId="2" fillId="0" borderId="0" xfId="0" applyFont="1" applyAlignment="1">
      <alignment horizontal="left" vertical="top" wrapText="1"/>
    </xf>
    <xf numFmtId="4" fontId="2" fillId="0" borderId="0" xfId="0" applyNumberFormat="1" applyFont="1" applyAlignment="1">
      <alignment horizontal="center" vertical="top" wrapText="1"/>
    </xf>
    <xf numFmtId="0" fontId="2" fillId="0" borderId="0" xfId="0" applyFont="1"/>
    <xf numFmtId="0" fontId="2" fillId="0" borderId="0" xfId="0" applyFont="1" applyAlignment="1">
      <alignment wrapText="1"/>
    </xf>
    <xf numFmtId="0" fontId="3" fillId="3" borderId="1" xfId="1" applyFont="1" applyFill="1" applyAlignment="1" applyProtection="1">
      <alignment horizontal="center" vertical="center" wrapText="1"/>
    </xf>
    <xf numFmtId="4" fontId="3" fillId="3" borderId="1" xfId="1" applyNumberFormat="1" applyFont="1" applyFill="1" applyAlignment="1" applyProtection="1">
      <alignment horizontal="center" vertical="center" wrapText="1"/>
    </xf>
    <xf numFmtId="0" fontId="3" fillId="0" borderId="2" xfId="1" applyFont="1" applyFill="1" applyBorder="1" applyAlignment="1" applyProtection="1">
      <alignment horizontal="center" wrapText="1"/>
    </xf>
    <xf numFmtId="0" fontId="3" fillId="0" borderId="2" xfId="1" applyFont="1" applyFill="1" applyBorder="1" applyAlignment="1" applyProtection="1">
      <alignment horizontal="left" wrapText="1"/>
    </xf>
    <xf numFmtId="4" fontId="3" fillId="0" borderId="2" xfId="1" applyNumberFormat="1" applyFont="1" applyFill="1" applyBorder="1" applyAlignment="1" applyProtection="1">
      <alignment horizontal="center" vertical="top" wrapText="1"/>
    </xf>
    <xf numFmtId="49" fontId="4" fillId="0" borderId="0" xfId="0" applyNumberFormat="1" applyFont="1" applyAlignment="1">
      <alignment horizontal="left" vertical="top" wrapText="1"/>
    </xf>
    <xf numFmtId="4" fontId="5" fillId="0" borderId="0" xfId="0" applyNumberFormat="1" applyFont="1" applyAlignment="1">
      <alignment horizontal="center" vertical="top" wrapText="1"/>
    </xf>
    <xf numFmtId="2" fontId="7" fillId="4" borderId="5" xfId="0" applyNumberFormat="1" applyFont="1" applyFill="1" applyBorder="1" applyAlignment="1">
      <alignment horizontal="center" wrapText="1"/>
    </xf>
    <xf numFmtId="2" fontId="7" fillId="4" borderId="6" xfId="0" applyNumberFormat="1" applyFont="1" applyFill="1" applyBorder="1" applyAlignment="1">
      <alignment horizontal="center" wrapText="1"/>
    </xf>
    <xf numFmtId="49" fontId="2" fillId="0" borderId="3" xfId="0" applyNumberFormat="1" applyFont="1" applyBorder="1" applyAlignment="1">
      <alignment vertical="top" wrapText="1"/>
    </xf>
    <xf numFmtId="0" fontId="2" fillId="0" borderId="3" xfId="0" applyFont="1" applyBorder="1" applyAlignment="1">
      <alignment horizontal="center" vertical="top" wrapText="1"/>
    </xf>
    <xf numFmtId="0" fontId="2" fillId="0" borderId="3" xfId="0" applyFont="1" applyBorder="1" applyAlignment="1">
      <alignment horizontal="left" vertical="top" wrapText="1"/>
    </xf>
    <xf numFmtId="4" fontId="2" fillId="0" borderId="3" xfId="0" applyNumberFormat="1" applyFont="1" applyBorder="1" applyAlignment="1">
      <alignment horizontal="center" vertical="top" wrapText="1"/>
    </xf>
    <xf numFmtId="4" fontId="9" fillId="0" borderId="0" xfId="0" applyNumberFormat="1" applyFont="1" applyAlignment="1">
      <alignment horizontal="center" vertical="top" wrapText="1"/>
    </xf>
    <xf numFmtId="2" fontId="9" fillId="0" borderId="11" xfId="0" applyNumberFormat="1" applyFont="1" applyBorder="1" applyAlignment="1">
      <alignment horizontal="center" wrapText="1"/>
    </xf>
    <xf numFmtId="4" fontId="8" fillId="0" borderId="0" xfId="0" applyNumberFormat="1" applyFont="1" applyAlignment="1">
      <alignment horizontal="center" vertical="top" wrapText="1"/>
    </xf>
    <xf numFmtId="2" fontId="11" fillId="0" borderId="0" xfId="0" applyNumberFormat="1" applyFont="1" applyAlignment="1">
      <alignment horizontal="center" wrapText="1"/>
    </xf>
    <xf numFmtId="0" fontId="4" fillId="4" borderId="8" xfId="0" applyFont="1" applyFill="1" applyBorder="1" applyAlignment="1">
      <alignment horizontal="left" vertical="top" wrapText="1"/>
    </xf>
    <xf numFmtId="4" fontId="2" fillId="4" borderId="9" xfId="0" applyNumberFormat="1" applyFont="1" applyFill="1" applyBorder="1" applyAlignment="1">
      <alignment horizontal="center" vertical="top" wrapText="1"/>
    </xf>
    <xf numFmtId="0" fontId="12" fillId="0" borderId="0" xfId="0" applyFont="1"/>
    <xf numFmtId="0" fontId="13" fillId="0" borderId="0" xfId="0" applyFont="1"/>
    <xf numFmtId="0" fontId="12" fillId="0" borderId="0" xfId="0" applyFont="1" applyAlignment="1">
      <alignment vertical="top"/>
    </xf>
    <xf numFmtId="0" fontId="13" fillId="0" borderId="0" xfId="0" applyFont="1" applyAlignment="1">
      <alignment horizontal="center" wrapText="1"/>
    </xf>
    <xf numFmtId="0" fontId="14" fillId="0" borderId="0" xfId="0" applyFont="1"/>
    <xf numFmtId="0" fontId="15" fillId="0" borderId="0" xfId="0" applyFont="1"/>
    <xf numFmtId="0" fontId="13" fillId="0" borderId="4" xfId="0" applyFont="1" applyBorder="1"/>
    <xf numFmtId="0" fontId="13" fillId="0" borderId="5" xfId="0" applyFont="1" applyBorder="1"/>
    <xf numFmtId="164" fontId="13" fillId="0" borderId="6" xfId="0" applyNumberFormat="1" applyFont="1" applyBorder="1"/>
    <xf numFmtId="164" fontId="13" fillId="0" borderId="0" xfId="0" applyNumberFormat="1" applyFont="1"/>
    <xf numFmtId="0" fontId="13" fillId="0" borderId="0" xfId="0" applyFont="1" applyAlignment="1">
      <alignment horizontal="right"/>
    </xf>
    <xf numFmtId="2" fontId="13" fillId="0" borderId="0" xfId="0" applyNumberFormat="1" applyFont="1"/>
    <xf numFmtId="0" fontId="15" fillId="0" borderId="4" xfId="0" applyFont="1" applyBorder="1"/>
    <xf numFmtId="164" fontId="15" fillId="0" borderId="6" xfId="0" applyNumberFormat="1" applyFont="1" applyBorder="1"/>
    <xf numFmtId="2" fontId="17" fillId="0" borderId="7" xfId="0" applyNumberFormat="1" applyFont="1" applyBorder="1" applyAlignment="1">
      <alignment horizontal="center"/>
    </xf>
    <xf numFmtId="0" fontId="3" fillId="3" borderId="1" xfId="1" applyFont="1" applyFill="1" applyAlignment="1">
      <alignment horizontal="center" vertical="center" wrapText="1"/>
    </xf>
    <xf numFmtId="4" fontId="3" fillId="3" borderId="1" xfId="1" applyNumberFormat="1" applyFont="1" applyFill="1" applyAlignment="1">
      <alignment horizontal="center" vertical="center" wrapText="1"/>
    </xf>
    <xf numFmtId="0" fontId="3" fillId="0" borderId="2" xfId="1" applyFont="1" applyFill="1" applyBorder="1" applyAlignment="1">
      <alignment horizontal="center" wrapText="1"/>
    </xf>
    <xf numFmtId="0" fontId="3" fillId="0" borderId="2" xfId="1" applyFont="1" applyFill="1" applyBorder="1" applyAlignment="1">
      <alignment horizontal="left" wrapText="1"/>
    </xf>
    <xf numFmtId="4" fontId="3" fillId="0" borderId="2" xfId="1" applyNumberFormat="1" applyFont="1" applyFill="1" applyBorder="1" applyAlignment="1">
      <alignment horizontal="center" vertical="top" wrapText="1"/>
    </xf>
    <xf numFmtId="0" fontId="19" fillId="0" borderId="3" xfId="0" applyFont="1" applyBorder="1" applyAlignment="1">
      <alignment horizontal="left" vertical="top" wrapText="1"/>
    </xf>
    <xf numFmtId="4" fontId="20" fillId="0" borderId="0" xfId="0" applyNumberFormat="1" applyFont="1" applyAlignment="1">
      <alignment horizontal="center" vertical="top" wrapText="1"/>
    </xf>
    <xf numFmtId="4" fontId="19" fillId="0" borderId="3" xfId="0" applyNumberFormat="1" applyFont="1" applyBorder="1" applyAlignment="1">
      <alignment horizontal="center" vertical="top" wrapText="1"/>
    </xf>
    <xf numFmtId="49" fontId="2" fillId="0" borderId="0" xfId="0" applyNumberFormat="1" applyFont="1" applyAlignment="1">
      <alignment vertical="top" wrapText="1"/>
    </xf>
    <xf numFmtId="2" fontId="9" fillId="0" borderId="0" xfId="0" applyNumberFormat="1" applyFont="1" applyAlignment="1">
      <alignment horizontal="center" vertical="top" wrapText="1"/>
    </xf>
    <xf numFmtId="2" fontId="9" fillId="0" borderId="0" xfId="0" applyNumberFormat="1" applyFont="1" applyAlignment="1">
      <alignment horizontal="center" wrapText="1"/>
    </xf>
    <xf numFmtId="0" fontId="19" fillId="0" borderId="0" xfId="0" applyFont="1" applyAlignment="1">
      <alignment wrapText="1"/>
    </xf>
    <xf numFmtId="49" fontId="19" fillId="0" borderId="3" xfId="0" applyNumberFormat="1" applyFont="1" applyBorder="1" applyAlignment="1">
      <alignment vertical="top" wrapText="1"/>
    </xf>
    <xf numFmtId="0" fontId="19" fillId="0" borderId="3" xfId="0" applyFont="1" applyBorder="1" applyAlignment="1">
      <alignment horizontal="center" vertical="top" wrapText="1"/>
    </xf>
    <xf numFmtId="0" fontId="19" fillId="0" borderId="0" xfId="0" applyFont="1"/>
    <xf numFmtId="2" fontId="5" fillId="0" borderId="0" xfId="0" applyNumberFormat="1" applyFont="1" applyAlignment="1">
      <alignment horizontal="center" vertical="top" wrapText="1"/>
    </xf>
    <xf numFmtId="49" fontId="6" fillId="0" borderId="0" xfId="0" applyNumberFormat="1" applyFont="1" applyAlignment="1">
      <alignment horizontal="left" wrapText="1"/>
    </xf>
    <xf numFmtId="2" fontId="7" fillId="0" borderId="0" xfId="0" applyNumberFormat="1" applyFont="1" applyAlignment="1">
      <alignment horizontal="center" wrapText="1"/>
    </xf>
    <xf numFmtId="4" fontId="19" fillId="0" borderId="0" xfId="0" applyNumberFormat="1" applyFont="1" applyAlignment="1">
      <alignment horizontal="center" vertical="top" wrapText="1"/>
    </xf>
    <xf numFmtId="4" fontId="21" fillId="3" borderId="1" xfId="1" applyNumberFormat="1" applyFont="1" applyFill="1" applyAlignment="1">
      <alignment horizontal="center" vertical="center" wrapText="1"/>
    </xf>
    <xf numFmtId="4" fontId="21" fillId="0" borderId="2" xfId="1" applyNumberFormat="1" applyFont="1" applyFill="1" applyBorder="1" applyAlignment="1">
      <alignment horizontal="center" vertical="top" wrapText="1"/>
    </xf>
    <xf numFmtId="4" fontId="19" fillId="4" borderId="9" xfId="0" applyNumberFormat="1" applyFont="1" applyFill="1" applyBorder="1" applyAlignment="1">
      <alignment horizontal="center" vertical="top" wrapText="1"/>
    </xf>
    <xf numFmtId="2" fontId="10" fillId="0" borderId="0" xfId="0" applyNumberFormat="1" applyFont="1" applyAlignment="1">
      <alignment vertical="top"/>
    </xf>
    <xf numFmtId="2" fontId="11" fillId="3" borderId="0" xfId="0" applyNumberFormat="1" applyFont="1" applyFill="1" applyAlignment="1">
      <alignment vertical="center"/>
    </xf>
    <xf numFmtId="2" fontId="22" fillId="4" borderId="5" xfId="0" applyNumberFormat="1" applyFont="1" applyFill="1" applyBorder="1" applyAlignment="1">
      <alignment horizontal="center" wrapText="1"/>
    </xf>
    <xf numFmtId="2" fontId="23" fillId="0" borderId="0" xfId="0" applyNumberFormat="1" applyFont="1" applyAlignment="1">
      <alignment horizontal="center" wrapText="1"/>
    </xf>
    <xf numFmtId="2" fontId="10" fillId="0" borderId="12" xfId="0" applyNumberFormat="1" applyFont="1" applyBorder="1" applyAlignment="1">
      <alignment vertical="top"/>
    </xf>
    <xf numFmtId="2" fontId="11" fillId="3" borderId="12" xfId="0" applyNumberFormat="1" applyFont="1" applyFill="1" applyBorder="1" applyAlignment="1">
      <alignment vertical="center"/>
    </xf>
    <xf numFmtId="2" fontId="10" fillId="10" borderId="12" xfId="0" applyNumberFormat="1" applyFont="1" applyFill="1" applyBorder="1" applyAlignment="1">
      <alignment vertical="top"/>
    </xf>
    <xf numFmtId="2" fontId="24" fillId="10" borderId="12" xfId="0" applyNumberFormat="1" applyFont="1" applyFill="1" applyBorder="1" applyAlignment="1">
      <alignment vertical="top"/>
    </xf>
    <xf numFmtId="2" fontId="24" fillId="6" borderId="12" xfId="0" applyNumberFormat="1" applyFont="1" applyFill="1" applyBorder="1" applyAlignment="1">
      <alignment vertical="top"/>
    </xf>
    <xf numFmtId="2" fontId="10" fillId="8" borderId="12" xfId="0" applyNumberFormat="1" applyFont="1" applyFill="1" applyBorder="1" applyAlignment="1">
      <alignment vertical="top"/>
    </xf>
    <xf numFmtId="2" fontId="10" fillId="13" borderId="12" xfId="0" applyNumberFormat="1" applyFont="1" applyFill="1" applyBorder="1" applyAlignment="1">
      <alignment vertical="top"/>
    </xf>
    <xf numFmtId="2" fontId="24" fillId="13" borderId="12" xfId="0" applyNumberFormat="1" applyFont="1" applyFill="1" applyBorder="1" applyAlignment="1">
      <alignment vertical="top"/>
    </xf>
    <xf numFmtId="2" fontId="24" fillId="6" borderId="0" xfId="0" applyNumberFormat="1" applyFont="1" applyFill="1" applyAlignment="1">
      <alignment vertical="top"/>
    </xf>
    <xf numFmtId="2" fontId="24" fillId="8" borderId="0" xfId="0" applyNumberFormat="1" applyFont="1" applyFill="1" applyAlignment="1">
      <alignment vertical="top"/>
    </xf>
    <xf numFmtId="2" fontId="24" fillId="13" borderId="0" xfId="0" applyNumberFormat="1" applyFont="1" applyFill="1" applyAlignment="1">
      <alignment vertical="top"/>
    </xf>
    <xf numFmtId="2" fontId="24" fillId="11" borderId="0" xfId="0" applyNumberFormat="1" applyFont="1" applyFill="1" applyAlignment="1">
      <alignment vertical="top"/>
    </xf>
    <xf numFmtId="2" fontId="10" fillId="10" borderId="0" xfId="0" applyNumberFormat="1" applyFont="1" applyFill="1" applyAlignment="1">
      <alignment vertical="top"/>
    </xf>
    <xf numFmtId="2" fontId="24" fillId="9" borderId="0" xfId="0" applyNumberFormat="1" applyFont="1" applyFill="1" applyAlignment="1">
      <alignment vertical="top"/>
    </xf>
    <xf numFmtId="2" fontId="10" fillId="11" borderId="0" xfId="0" applyNumberFormat="1" applyFont="1" applyFill="1" applyAlignment="1">
      <alignment vertical="top"/>
    </xf>
    <xf numFmtId="2" fontId="10" fillId="6" borderId="0" xfId="0" applyNumberFormat="1" applyFont="1" applyFill="1" applyAlignment="1">
      <alignment vertical="top"/>
    </xf>
    <xf numFmtId="2" fontId="10" fillId="9" borderId="0" xfId="0" applyNumberFormat="1" applyFont="1" applyFill="1" applyAlignment="1">
      <alignment vertical="top"/>
    </xf>
    <xf numFmtId="2" fontId="10" fillId="13" borderId="0" xfId="0" applyNumberFormat="1" applyFont="1" applyFill="1" applyAlignment="1">
      <alignment vertical="top"/>
    </xf>
    <xf numFmtId="2" fontId="10" fillId="8" borderId="0" xfId="0" applyNumberFormat="1" applyFont="1" applyFill="1" applyAlignment="1">
      <alignment vertical="top"/>
    </xf>
    <xf numFmtId="2" fontId="10" fillId="5" borderId="0" xfId="0" applyNumberFormat="1" applyFont="1" applyFill="1" applyAlignment="1">
      <alignment vertical="top"/>
    </xf>
    <xf numFmtId="2" fontId="25" fillId="13" borderId="0" xfId="0" applyNumberFormat="1" applyFont="1" applyFill="1" applyAlignment="1">
      <alignment vertical="top"/>
    </xf>
    <xf numFmtId="2" fontId="10" fillId="7" borderId="0" xfId="0" applyNumberFormat="1" applyFont="1" applyFill="1" applyAlignment="1">
      <alignment vertical="top"/>
    </xf>
    <xf numFmtId="2" fontId="25" fillId="6" borderId="0" xfId="0" applyNumberFormat="1" applyFont="1" applyFill="1" applyAlignment="1">
      <alignment vertical="top"/>
    </xf>
    <xf numFmtId="2" fontId="24" fillId="10" borderId="0" xfId="0" applyNumberFormat="1" applyFont="1" applyFill="1" applyAlignment="1">
      <alignment vertical="top"/>
    </xf>
    <xf numFmtId="2" fontId="26" fillId="7" borderId="0" xfId="0" applyNumberFormat="1" applyFont="1" applyFill="1" applyAlignment="1">
      <alignment vertical="top"/>
    </xf>
    <xf numFmtId="2" fontId="26" fillId="6" borderId="0" xfId="0" applyNumberFormat="1" applyFont="1" applyFill="1" applyAlignment="1">
      <alignment vertical="top"/>
    </xf>
    <xf numFmtId="2" fontId="26" fillId="10" borderId="0" xfId="0" applyNumberFormat="1" applyFont="1" applyFill="1" applyAlignment="1">
      <alignment vertical="top"/>
    </xf>
    <xf numFmtId="2" fontId="26" fillId="12" borderId="0" xfId="0" applyNumberFormat="1" applyFont="1" applyFill="1" applyAlignment="1">
      <alignment vertical="top"/>
    </xf>
    <xf numFmtId="2" fontId="25" fillId="10" borderId="0" xfId="0" applyNumberFormat="1" applyFont="1" applyFill="1" applyAlignment="1">
      <alignment vertical="top"/>
    </xf>
    <xf numFmtId="2" fontId="25" fillId="5" borderId="0" xfId="0" applyNumberFormat="1" applyFont="1" applyFill="1" applyAlignment="1">
      <alignment vertical="top"/>
    </xf>
    <xf numFmtId="2" fontId="11" fillId="10" borderId="0" xfId="0" applyNumberFormat="1" applyFont="1" applyFill="1" applyAlignment="1">
      <alignment vertical="top"/>
    </xf>
    <xf numFmtId="2" fontId="2" fillId="0" borderId="0" xfId="0" applyNumberFormat="1" applyFont="1" applyAlignment="1">
      <alignment vertical="top"/>
    </xf>
    <xf numFmtId="2" fontId="8" fillId="3" borderId="0" xfId="0" applyNumberFormat="1" applyFont="1" applyFill="1" applyAlignment="1">
      <alignment vertical="center"/>
    </xf>
    <xf numFmtId="2" fontId="21" fillId="6" borderId="0" xfId="0" applyNumberFormat="1" applyFont="1" applyFill="1" applyAlignment="1">
      <alignment vertical="top"/>
    </xf>
    <xf numFmtId="4" fontId="2" fillId="0" borderId="3" xfId="0" applyNumberFormat="1" applyFont="1" applyBorder="1" applyAlignment="1" applyProtection="1">
      <alignment horizontal="center" vertical="top" wrapText="1"/>
      <protection locked="0"/>
    </xf>
    <xf numFmtId="4" fontId="19" fillId="0" borderId="3" xfId="0" applyNumberFormat="1" applyFont="1" applyBorder="1" applyAlignment="1" applyProtection="1">
      <alignment horizontal="center" vertical="top" wrapText="1"/>
      <protection locked="0"/>
    </xf>
    <xf numFmtId="0" fontId="16" fillId="0" borderId="0" xfId="0" applyFont="1" applyAlignment="1">
      <alignment horizontal="left"/>
    </xf>
    <xf numFmtId="0" fontId="4" fillId="0" borderId="0" xfId="0" applyFont="1" applyAlignment="1">
      <alignment horizontal="left"/>
    </xf>
    <xf numFmtId="0" fontId="27" fillId="0" borderId="0" xfId="0" applyFont="1" applyAlignment="1">
      <alignment horizontal="left" vertical="top" wrapText="1"/>
    </xf>
    <xf numFmtId="0" fontId="15" fillId="0" borderId="0" xfId="0" applyFont="1" applyAlignment="1">
      <alignment horizontal="left" vertical="top" wrapText="1"/>
    </xf>
    <xf numFmtId="4" fontId="4" fillId="4" borderId="9" xfId="0" applyNumberFormat="1" applyFont="1" applyFill="1" applyBorder="1" applyAlignment="1">
      <alignment horizontal="right" vertical="top" wrapText="1"/>
    </xf>
    <xf numFmtId="4" fontId="4" fillId="4" borderId="10" xfId="0" applyNumberFormat="1" applyFont="1" applyFill="1" applyBorder="1" applyAlignment="1">
      <alignment horizontal="right" vertical="top" wrapText="1"/>
    </xf>
    <xf numFmtId="49" fontId="4" fillId="0" borderId="0" xfId="0" applyNumberFormat="1" applyFont="1" applyAlignment="1">
      <alignment horizontal="left" vertical="top" wrapText="1"/>
    </xf>
    <xf numFmtId="49" fontId="6" fillId="4" borderId="4" xfId="0" applyNumberFormat="1" applyFont="1" applyFill="1" applyBorder="1" applyAlignment="1">
      <alignment horizontal="left" wrapText="1"/>
    </xf>
    <xf numFmtId="49" fontId="6" fillId="4" borderId="5" xfId="0" applyNumberFormat="1" applyFont="1" applyFill="1" applyBorder="1" applyAlignment="1">
      <alignment horizontal="left" wrapText="1"/>
    </xf>
    <xf numFmtId="49" fontId="10" fillId="0" borderId="11" xfId="0" applyNumberFormat="1" applyFont="1" applyBorder="1" applyAlignment="1">
      <alignment horizontal="left" wrapText="1"/>
    </xf>
    <xf numFmtId="49" fontId="10" fillId="0" borderId="0" xfId="0" applyNumberFormat="1" applyFont="1" applyAlignment="1">
      <alignment horizontal="left" wrapText="1"/>
    </xf>
    <xf numFmtId="49" fontId="15" fillId="0" borderId="0" xfId="0" applyNumberFormat="1" applyFont="1" applyAlignment="1">
      <alignment horizontal="left" vertical="top" wrapText="1"/>
    </xf>
  </cellXfs>
  <cellStyles count="2">
    <cellStyle name="Izhod" xfId="1" builtinId="21"/>
    <cellStyle name="Navad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1_preddela_1" connectionId="1" xr16:uid="{00000000-0016-0000-01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1_preddela_1" connectionId="2" xr16:uid="{00000000-0016-0000-02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1_preddela_1" connectionId="6" xr16:uid="{00000000-0016-0000-0300-000002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1_preddela_1" connectionId="3" xr16:uid="{00000000-0016-0000-0400-000003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1_preddela_1" connectionId="7" xr16:uid="{00000000-0016-0000-05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1_preddela_1" connectionId="4" xr16:uid="{00000000-0016-0000-06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1_preddela_1" connectionId="5" xr16:uid="{00000000-0016-0000-0700-000006000000}" autoFormatId="16" applyNumberFormats="0" applyBorderFormats="0" applyFontFormats="1" applyPatternFormats="1" applyAlignmentFormats="0" applyWidthHeightFormats="0"/>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queryTable" Target="../queryTables/queryTable6.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queryTable" Target="../queryTables/queryTable7.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C00000"/>
  </sheetPr>
  <dimension ref="B4:I41"/>
  <sheetViews>
    <sheetView tabSelected="1" view="pageBreakPreview" topLeftCell="A7" zoomScaleNormal="85" zoomScaleSheetLayoutView="100" zoomScalePageLayoutView="120" workbookViewId="0">
      <selection activeCell="K14" sqref="K14"/>
    </sheetView>
  </sheetViews>
  <sheetFormatPr defaultRowHeight="16.5" x14ac:dyDescent="0.3"/>
  <cols>
    <col min="1" max="1" width="2.85546875" style="28" customWidth="1"/>
    <col min="2" max="2" width="10.42578125" style="28" customWidth="1"/>
    <col min="3" max="4" width="9.140625" style="28"/>
    <col min="5" max="5" width="8.28515625" style="28" customWidth="1"/>
    <col min="6" max="6" width="9.5703125" style="28" customWidth="1"/>
    <col min="7" max="7" width="3.28515625" style="28" customWidth="1"/>
    <col min="8" max="8" width="19.85546875" style="28" customWidth="1"/>
    <col min="9" max="9" width="7.28515625" style="28" customWidth="1"/>
    <col min="10" max="10" width="12.7109375" style="28" customWidth="1"/>
    <col min="11" max="262" width="9.140625" style="28"/>
    <col min="263" max="263" width="7.42578125" style="28" customWidth="1"/>
    <col min="264" max="264" width="20.42578125" style="28" customWidth="1"/>
    <col min="265" max="265" width="17.140625" style="28" customWidth="1"/>
    <col min="266" max="266" width="12.7109375" style="28" customWidth="1"/>
    <col min="267" max="518" width="9.140625" style="28"/>
    <col min="519" max="519" width="7.42578125" style="28" customWidth="1"/>
    <col min="520" max="520" width="20.42578125" style="28" customWidth="1"/>
    <col min="521" max="521" width="17.140625" style="28" customWidth="1"/>
    <col min="522" max="522" width="12.7109375" style="28" customWidth="1"/>
    <col min="523" max="774" width="9.140625" style="28"/>
    <col min="775" max="775" width="7.42578125" style="28" customWidth="1"/>
    <col min="776" max="776" width="20.42578125" style="28" customWidth="1"/>
    <col min="777" max="777" width="17.140625" style="28" customWidth="1"/>
    <col min="778" max="778" width="12.7109375" style="28" customWidth="1"/>
    <col min="779" max="1030" width="9.140625" style="28"/>
    <col min="1031" max="1031" width="7.42578125" style="28" customWidth="1"/>
    <col min="1032" max="1032" width="20.42578125" style="28" customWidth="1"/>
    <col min="1033" max="1033" width="17.140625" style="28" customWidth="1"/>
    <col min="1034" max="1034" width="12.7109375" style="28" customWidth="1"/>
    <col min="1035" max="1286" width="9.140625" style="28"/>
    <col min="1287" max="1287" width="7.42578125" style="28" customWidth="1"/>
    <col min="1288" max="1288" width="20.42578125" style="28" customWidth="1"/>
    <col min="1289" max="1289" width="17.140625" style="28" customWidth="1"/>
    <col min="1290" max="1290" width="12.7109375" style="28" customWidth="1"/>
    <col min="1291" max="1542" width="9.140625" style="28"/>
    <col min="1543" max="1543" width="7.42578125" style="28" customWidth="1"/>
    <col min="1544" max="1544" width="20.42578125" style="28" customWidth="1"/>
    <col min="1545" max="1545" width="17.140625" style="28" customWidth="1"/>
    <col min="1546" max="1546" width="12.7109375" style="28" customWidth="1"/>
    <col min="1547" max="1798" width="9.140625" style="28"/>
    <col min="1799" max="1799" width="7.42578125" style="28" customWidth="1"/>
    <col min="1800" max="1800" width="20.42578125" style="28" customWidth="1"/>
    <col min="1801" max="1801" width="17.140625" style="28" customWidth="1"/>
    <col min="1802" max="1802" width="12.7109375" style="28" customWidth="1"/>
    <col min="1803" max="2054" width="9.140625" style="28"/>
    <col min="2055" max="2055" width="7.42578125" style="28" customWidth="1"/>
    <col min="2056" max="2056" width="20.42578125" style="28" customWidth="1"/>
    <col min="2057" max="2057" width="17.140625" style="28" customWidth="1"/>
    <col min="2058" max="2058" width="12.7109375" style="28" customWidth="1"/>
    <col min="2059" max="2310" width="9.140625" style="28"/>
    <col min="2311" max="2311" width="7.42578125" style="28" customWidth="1"/>
    <col min="2312" max="2312" width="20.42578125" style="28" customWidth="1"/>
    <col min="2313" max="2313" width="17.140625" style="28" customWidth="1"/>
    <col min="2314" max="2314" width="12.7109375" style="28" customWidth="1"/>
    <col min="2315" max="2566" width="9.140625" style="28"/>
    <col min="2567" max="2567" width="7.42578125" style="28" customWidth="1"/>
    <col min="2568" max="2568" width="20.42578125" style="28" customWidth="1"/>
    <col min="2569" max="2569" width="17.140625" style="28" customWidth="1"/>
    <col min="2570" max="2570" width="12.7109375" style="28" customWidth="1"/>
    <col min="2571" max="2822" width="9.140625" style="28"/>
    <col min="2823" max="2823" width="7.42578125" style="28" customWidth="1"/>
    <col min="2824" max="2824" width="20.42578125" style="28" customWidth="1"/>
    <col min="2825" max="2825" width="17.140625" style="28" customWidth="1"/>
    <col min="2826" max="2826" width="12.7109375" style="28" customWidth="1"/>
    <col min="2827" max="3078" width="9.140625" style="28"/>
    <col min="3079" max="3079" width="7.42578125" style="28" customWidth="1"/>
    <col min="3080" max="3080" width="20.42578125" style="28" customWidth="1"/>
    <col min="3081" max="3081" width="17.140625" style="28" customWidth="1"/>
    <col min="3082" max="3082" width="12.7109375" style="28" customWidth="1"/>
    <col min="3083" max="3334" width="9.140625" style="28"/>
    <col min="3335" max="3335" width="7.42578125" style="28" customWidth="1"/>
    <col min="3336" max="3336" width="20.42578125" style="28" customWidth="1"/>
    <col min="3337" max="3337" width="17.140625" style="28" customWidth="1"/>
    <col min="3338" max="3338" width="12.7109375" style="28" customWidth="1"/>
    <col min="3339" max="3590" width="9.140625" style="28"/>
    <col min="3591" max="3591" width="7.42578125" style="28" customWidth="1"/>
    <col min="3592" max="3592" width="20.42578125" style="28" customWidth="1"/>
    <col min="3593" max="3593" width="17.140625" style="28" customWidth="1"/>
    <col min="3594" max="3594" width="12.7109375" style="28" customWidth="1"/>
    <col min="3595" max="3846" width="9.140625" style="28"/>
    <col min="3847" max="3847" width="7.42578125" style="28" customWidth="1"/>
    <col min="3848" max="3848" width="20.42578125" style="28" customWidth="1"/>
    <col min="3849" max="3849" width="17.140625" style="28" customWidth="1"/>
    <col min="3850" max="3850" width="12.7109375" style="28" customWidth="1"/>
    <col min="3851" max="4102" width="9.140625" style="28"/>
    <col min="4103" max="4103" width="7.42578125" style="28" customWidth="1"/>
    <col min="4104" max="4104" width="20.42578125" style="28" customWidth="1"/>
    <col min="4105" max="4105" width="17.140625" style="28" customWidth="1"/>
    <col min="4106" max="4106" width="12.7109375" style="28" customWidth="1"/>
    <col min="4107" max="4358" width="9.140625" style="28"/>
    <col min="4359" max="4359" width="7.42578125" style="28" customWidth="1"/>
    <col min="4360" max="4360" width="20.42578125" style="28" customWidth="1"/>
    <col min="4361" max="4361" width="17.140625" style="28" customWidth="1"/>
    <col min="4362" max="4362" width="12.7109375" style="28" customWidth="1"/>
    <col min="4363" max="4614" width="9.140625" style="28"/>
    <col min="4615" max="4615" width="7.42578125" style="28" customWidth="1"/>
    <col min="4616" max="4616" width="20.42578125" style="28" customWidth="1"/>
    <col min="4617" max="4617" width="17.140625" style="28" customWidth="1"/>
    <col min="4618" max="4618" width="12.7109375" style="28" customWidth="1"/>
    <col min="4619" max="4870" width="9.140625" style="28"/>
    <col min="4871" max="4871" width="7.42578125" style="28" customWidth="1"/>
    <col min="4872" max="4872" width="20.42578125" style="28" customWidth="1"/>
    <col min="4873" max="4873" width="17.140625" style="28" customWidth="1"/>
    <col min="4874" max="4874" width="12.7109375" style="28" customWidth="1"/>
    <col min="4875" max="5126" width="9.140625" style="28"/>
    <col min="5127" max="5127" width="7.42578125" style="28" customWidth="1"/>
    <col min="5128" max="5128" width="20.42578125" style="28" customWidth="1"/>
    <col min="5129" max="5129" width="17.140625" style="28" customWidth="1"/>
    <col min="5130" max="5130" width="12.7109375" style="28" customWidth="1"/>
    <col min="5131" max="5382" width="9.140625" style="28"/>
    <col min="5383" max="5383" width="7.42578125" style="28" customWidth="1"/>
    <col min="5384" max="5384" width="20.42578125" style="28" customWidth="1"/>
    <col min="5385" max="5385" width="17.140625" style="28" customWidth="1"/>
    <col min="5386" max="5386" width="12.7109375" style="28" customWidth="1"/>
    <col min="5387" max="5638" width="9.140625" style="28"/>
    <col min="5639" max="5639" width="7.42578125" style="28" customWidth="1"/>
    <col min="5640" max="5640" width="20.42578125" style="28" customWidth="1"/>
    <col min="5641" max="5641" width="17.140625" style="28" customWidth="1"/>
    <col min="5642" max="5642" width="12.7109375" style="28" customWidth="1"/>
    <col min="5643" max="5894" width="9.140625" style="28"/>
    <col min="5895" max="5895" width="7.42578125" style="28" customWidth="1"/>
    <col min="5896" max="5896" width="20.42578125" style="28" customWidth="1"/>
    <col min="5897" max="5897" width="17.140625" style="28" customWidth="1"/>
    <col min="5898" max="5898" width="12.7109375" style="28" customWidth="1"/>
    <col min="5899" max="6150" width="9.140625" style="28"/>
    <col min="6151" max="6151" width="7.42578125" style="28" customWidth="1"/>
    <col min="6152" max="6152" width="20.42578125" style="28" customWidth="1"/>
    <col min="6153" max="6153" width="17.140625" style="28" customWidth="1"/>
    <col min="6154" max="6154" width="12.7109375" style="28" customWidth="1"/>
    <col min="6155" max="6406" width="9.140625" style="28"/>
    <col min="6407" max="6407" width="7.42578125" style="28" customWidth="1"/>
    <col min="6408" max="6408" width="20.42578125" style="28" customWidth="1"/>
    <col min="6409" max="6409" width="17.140625" style="28" customWidth="1"/>
    <col min="6410" max="6410" width="12.7109375" style="28" customWidth="1"/>
    <col min="6411" max="6662" width="9.140625" style="28"/>
    <col min="6663" max="6663" width="7.42578125" style="28" customWidth="1"/>
    <col min="6664" max="6664" width="20.42578125" style="28" customWidth="1"/>
    <col min="6665" max="6665" width="17.140625" style="28" customWidth="1"/>
    <col min="6666" max="6666" width="12.7109375" style="28" customWidth="1"/>
    <col min="6667" max="6918" width="9.140625" style="28"/>
    <col min="6919" max="6919" width="7.42578125" style="28" customWidth="1"/>
    <col min="6920" max="6920" width="20.42578125" style="28" customWidth="1"/>
    <col min="6921" max="6921" width="17.140625" style="28" customWidth="1"/>
    <col min="6922" max="6922" width="12.7109375" style="28" customWidth="1"/>
    <col min="6923" max="7174" width="9.140625" style="28"/>
    <col min="7175" max="7175" width="7.42578125" style="28" customWidth="1"/>
    <col min="7176" max="7176" width="20.42578125" style="28" customWidth="1"/>
    <col min="7177" max="7177" width="17.140625" style="28" customWidth="1"/>
    <col min="7178" max="7178" width="12.7109375" style="28" customWidth="1"/>
    <col min="7179" max="7430" width="9.140625" style="28"/>
    <col min="7431" max="7431" width="7.42578125" style="28" customWidth="1"/>
    <col min="7432" max="7432" width="20.42578125" style="28" customWidth="1"/>
    <col min="7433" max="7433" width="17.140625" style="28" customWidth="1"/>
    <col min="7434" max="7434" width="12.7109375" style="28" customWidth="1"/>
    <col min="7435" max="7686" width="9.140625" style="28"/>
    <col min="7687" max="7687" width="7.42578125" style="28" customWidth="1"/>
    <col min="7688" max="7688" width="20.42578125" style="28" customWidth="1"/>
    <col min="7689" max="7689" width="17.140625" style="28" customWidth="1"/>
    <col min="7690" max="7690" width="12.7109375" style="28" customWidth="1"/>
    <col min="7691" max="7942" width="9.140625" style="28"/>
    <col min="7943" max="7943" width="7.42578125" style="28" customWidth="1"/>
    <col min="7944" max="7944" width="20.42578125" style="28" customWidth="1"/>
    <col min="7945" max="7945" width="17.140625" style="28" customWidth="1"/>
    <col min="7946" max="7946" width="12.7109375" style="28" customWidth="1"/>
    <col min="7947" max="8198" width="9.140625" style="28"/>
    <col min="8199" max="8199" width="7.42578125" style="28" customWidth="1"/>
    <col min="8200" max="8200" width="20.42578125" style="28" customWidth="1"/>
    <col min="8201" max="8201" width="17.140625" style="28" customWidth="1"/>
    <col min="8202" max="8202" width="12.7109375" style="28" customWidth="1"/>
    <col min="8203" max="8454" width="9.140625" style="28"/>
    <col min="8455" max="8455" width="7.42578125" style="28" customWidth="1"/>
    <col min="8456" max="8456" width="20.42578125" style="28" customWidth="1"/>
    <col min="8457" max="8457" width="17.140625" style="28" customWidth="1"/>
    <col min="8458" max="8458" width="12.7109375" style="28" customWidth="1"/>
    <col min="8459" max="8710" width="9.140625" style="28"/>
    <col min="8711" max="8711" width="7.42578125" style="28" customWidth="1"/>
    <col min="8712" max="8712" width="20.42578125" style="28" customWidth="1"/>
    <col min="8713" max="8713" width="17.140625" style="28" customWidth="1"/>
    <col min="8714" max="8714" width="12.7109375" style="28" customWidth="1"/>
    <col min="8715" max="8966" width="9.140625" style="28"/>
    <col min="8967" max="8967" width="7.42578125" style="28" customWidth="1"/>
    <col min="8968" max="8968" width="20.42578125" style="28" customWidth="1"/>
    <col min="8969" max="8969" width="17.140625" style="28" customWidth="1"/>
    <col min="8970" max="8970" width="12.7109375" style="28" customWidth="1"/>
    <col min="8971" max="9222" width="9.140625" style="28"/>
    <col min="9223" max="9223" width="7.42578125" style="28" customWidth="1"/>
    <col min="9224" max="9224" width="20.42578125" style="28" customWidth="1"/>
    <col min="9225" max="9225" width="17.140625" style="28" customWidth="1"/>
    <col min="9226" max="9226" width="12.7109375" style="28" customWidth="1"/>
    <col min="9227" max="9478" width="9.140625" style="28"/>
    <col min="9479" max="9479" width="7.42578125" style="28" customWidth="1"/>
    <col min="9480" max="9480" width="20.42578125" style="28" customWidth="1"/>
    <col min="9481" max="9481" width="17.140625" style="28" customWidth="1"/>
    <col min="9482" max="9482" width="12.7109375" style="28" customWidth="1"/>
    <col min="9483" max="9734" width="9.140625" style="28"/>
    <col min="9735" max="9735" width="7.42578125" style="28" customWidth="1"/>
    <col min="9736" max="9736" width="20.42578125" style="28" customWidth="1"/>
    <col min="9737" max="9737" width="17.140625" style="28" customWidth="1"/>
    <col min="9738" max="9738" width="12.7109375" style="28" customWidth="1"/>
    <col min="9739" max="9990" width="9.140625" style="28"/>
    <col min="9991" max="9991" width="7.42578125" style="28" customWidth="1"/>
    <col min="9992" max="9992" width="20.42578125" style="28" customWidth="1"/>
    <col min="9993" max="9993" width="17.140625" style="28" customWidth="1"/>
    <col min="9994" max="9994" width="12.7109375" style="28" customWidth="1"/>
    <col min="9995" max="10246" width="9.140625" style="28"/>
    <col min="10247" max="10247" width="7.42578125" style="28" customWidth="1"/>
    <col min="10248" max="10248" width="20.42578125" style="28" customWidth="1"/>
    <col min="10249" max="10249" width="17.140625" style="28" customWidth="1"/>
    <col min="10250" max="10250" width="12.7109375" style="28" customWidth="1"/>
    <col min="10251" max="10502" width="9.140625" style="28"/>
    <col min="10503" max="10503" width="7.42578125" style="28" customWidth="1"/>
    <col min="10504" max="10504" width="20.42578125" style="28" customWidth="1"/>
    <col min="10505" max="10505" width="17.140625" style="28" customWidth="1"/>
    <col min="10506" max="10506" width="12.7109375" style="28" customWidth="1"/>
    <col min="10507" max="10758" width="9.140625" style="28"/>
    <col min="10759" max="10759" width="7.42578125" style="28" customWidth="1"/>
    <col min="10760" max="10760" width="20.42578125" style="28" customWidth="1"/>
    <col min="10761" max="10761" width="17.140625" style="28" customWidth="1"/>
    <col min="10762" max="10762" width="12.7109375" style="28" customWidth="1"/>
    <col min="10763" max="11014" width="9.140625" style="28"/>
    <col min="11015" max="11015" width="7.42578125" style="28" customWidth="1"/>
    <col min="11016" max="11016" width="20.42578125" style="28" customWidth="1"/>
    <col min="11017" max="11017" width="17.140625" style="28" customWidth="1"/>
    <col min="11018" max="11018" width="12.7109375" style="28" customWidth="1"/>
    <col min="11019" max="11270" width="9.140625" style="28"/>
    <col min="11271" max="11271" width="7.42578125" style="28" customWidth="1"/>
    <col min="11272" max="11272" width="20.42578125" style="28" customWidth="1"/>
    <col min="11273" max="11273" width="17.140625" style="28" customWidth="1"/>
    <col min="11274" max="11274" width="12.7109375" style="28" customWidth="1"/>
    <col min="11275" max="11526" width="9.140625" style="28"/>
    <col min="11527" max="11527" width="7.42578125" style="28" customWidth="1"/>
    <col min="11528" max="11528" width="20.42578125" style="28" customWidth="1"/>
    <col min="11529" max="11529" width="17.140625" style="28" customWidth="1"/>
    <col min="11530" max="11530" width="12.7109375" style="28" customWidth="1"/>
    <col min="11531" max="11782" width="9.140625" style="28"/>
    <col min="11783" max="11783" width="7.42578125" style="28" customWidth="1"/>
    <col min="11784" max="11784" width="20.42578125" style="28" customWidth="1"/>
    <col min="11785" max="11785" width="17.140625" style="28" customWidth="1"/>
    <col min="11786" max="11786" width="12.7109375" style="28" customWidth="1"/>
    <col min="11787" max="12038" width="9.140625" style="28"/>
    <col min="12039" max="12039" width="7.42578125" style="28" customWidth="1"/>
    <col min="12040" max="12040" width="20.42578125" style="28" customWidth="1"/>
    <col min="12041" max="12041" width="17.140625" style="28" customWidth="1"/>
    <col min="12042" max="12042" width="12.7109375" style="28" customWidth="1"/>
    <col min="12043" max="12294" width="9.140625" style="28"/>
    <col min="12295" max="12295" width="7.42578125" style="28" customWidth="1"/>
    <col min="12296" max="12296" width="20.42578125" style="28" customWidth="1"/>
    <col min="12297" max="12297" width="17.140625" style="28" customWidth="1"/>
    <col min="12298" max="12298" width="12.7109375" style="28" customWidth="1"/>
    <col min="12299" max="12550" width="9.140625" style="28"/>
    <col min="12551" max="12551" width="7.42578125" style="28" customWidth="1"/>
    <col min="12552" max="12552" width="20.42578125" style="28" customWidth="1"/>
    <col min="12553" max="12553" width="17.140625" style="28" customWidth="1"/>
    <col min="12554" max="12554" width="12.7109375" style="28" customWidth="1"/>
    <col min="12555" max="12806" width="9.140625" style="28"/>
    <col min="12807" max="12807" width="7.42578125" style="28" customWidth="1"/>
    <col min="12808" max="12808" width="20.42578125" style="28" customWidth="1"/>
    <col min="12809" max="12809" width="17.140625" style="28" customWidth="1"/>
    <col min="12810" max="12810" width="12.7109375" style="28" customWidth="1"/>
    <col min="12811" max="13062" width="9.140625" style="28"/>
    <col min="13063" max="13063" width="7.42578125" style="28" customWidth="1"/>
    <col min="13064" max="13064" width="20.42578125" style="28" customWidth="1"/>
    <col min="13065" max="13065" width="17.140625" style="28" customWidth="1"/>
    <col min="13066" max="13066" width="12.7109375" style="28" customWidth="1"/>
    <col min="13067" max="13318" width="9.140625" style="28"/>
    <col min="13319" max="13319" width="7.42578125" style="28" customWidth="1"/>
    <col min="13320" max="13320" width="20.42578125" style="28" customWidth="1"/>
    <col min="13321" max="13321" width="17.140625" style="28" customWidth="1"/>
    <col min="13322" max="13322" width="12.7109375" style="28" customWidth="1"/>
    <col min="13323" max="13574" width="9.140625" style="28"/>
    <col min="13575" max="13575" width="7.42578125" style="28" customWidth="1"/>
    <col min="13576" max="13576" width="20.42578125" style="28" customWidth="1"/>
    <col min="13577" max="13577" width="17.140625" style="28" customWidth="1"/>
    <col min="13578" max="13578" width="12.7109375" style="28" customWidth="1"/>
    <col min="13579" max="13830" width="9.140625" style="28"/>
    <col min="13831" max="13831" width="7.42578125" style="28" customWidth="1"/>
    <col min="13832" max="13832" width="20.42578125" style="28" customWidth="1"/>
    <col min="13833" max="13833" width="17.140625" style="28" customWidth="1"/>
    <col min="13834" max="13834" width="12.7109375" style="28" customWidth="1"/>
    <col min="13835" max="14086" width="9.140625" style="28"/>
    <col min="14087" max="14087" width="7.42578125" style="28" customWidth="1"/>
    <col min="14088" max="14088" width="20.42578125" style="28" customWidth="1"/>
    <col min="14089" max="14089" width="17.140625" style="28" customWidth="1"/>
    <col min="14090" max="14090" width="12.7109375" style="28" customWidth="1"/>
    <col min="14091" max="14342" width="9.140625" style="28"/>
    <col min="14343" max="14343" width="7.42578125" style="28" customWidth="1"/>
    <col min="14344" max="14344" width="20.42578125" style="28" customWidth="1"/>
    <col min="14345" max="14345" width="17.140625" style="28" customWidth="1"/>
    <col min="14346" max="14346" width="12.7109375" style="28" customWidth="1"/>
    <col min="14347" max="14598" width="9.140625" style="28"/>
    <col min="14599" max="14599" width="7.42578125" style="28" customWidth="1"/>
    <col min="14600" max="14600" width="20.42578125" style="28" customWidth="1"/>
    <col min="14601" max="14601" width="17.140625" style="28" customWidth="1"/>
    <col min="14602" max="14602" width="12.7109375" style="28" customWidth="1"/>
    <col min="14603" max="14854" width="9.140625" style="28"/>
    <col min="14855" max="14855" width="7.42578125" style="28" customWidth="1"/>
    <col min="14856" max="14856" width="20.42578125" style="28" customWidth="1"/>
    <col min="14857" max="14857" width="17.140625" style="28" customWidth="1"/>
    <col min="14858" max="14858" width="12.7109375" style="28" customWidth="1"/>
    <col min="14859" max="15110" width="9.140625" style="28"/>
    <col min="15111" max="15111" width="7.42578125" style="28" customWidth="1"/>
    <col min="15112" max="15112" width="20.42578125" style="28" customWidth="1"/>
    <col min="15113" max="15113" width="17.140625" style="28" customWidth="1"/>
    <col min="15114" max="15114" width="12.7109375" style="28" customWidth="1"/>
    <col min="15115" max="15366" width="9.140625" style="28"/>
    <col min="15367" max="15367" width="7.42578125" style="28" customWidth="1"/>
    <col min="15368" max="15368" width="20.42578125" style="28" customWidth="1"/>
    <col min="15369" max="15369" width="17.140625" style="28" customWidth="1"/>
    <col min="15370" max="15370" width="12.7109375" style="28" customWidth="1"/>
    <col min="15371" max="15622" width="9.140625" style="28"/>
    <col min="15623" max="15623" width="7.42578125" style="28" customWidth="1"/>
    <col min="15624" max="15624" width="20.42578125" style="28" customWidth="1"/>
    <col min="15625" max="15625" width="17.140625" style="28" customWidth="1"/>
    <col min="15626" max="15626" width="12.7109375" style="28" customWidth="1"/>
    <col min="15627" max="15878" width="9.140625" style="28"/>
    <col min="15879" max="15879" width="7.42578125" style="28" customWidth="1"/>
    <col min="15880" max="15880" width="20.42578125" style="28" customWidth="1"/>
    <col min="15881" max="15881" width="17.140625" style="28" customWidth="1"/>
    <col min="15882" max="15882" width="12.7109375" style="28" customWidth="1"/>
    <col min="15883" max="16134" width="9.140625" style="28"/>
    <col min="16135" max="16135" width="7.42578125" style="28" customWidth="1"/>
    <col min="16136" max="16136" width="20.42578125" style="28" customWidth="1"/>
    <col min="16137" max="16137" width="17.140625" style="28" customWidth="1"/>
    <col min="16138" max="16138" width="12.7109375" style="28" customWidth="1"/>
    <col min="16139" max="16384" width="9.140625" style="28"/>
  </cols>
  <sheetData>
    <row r="4" spans="3:9" x14ac:dyDescent="0.3">
      <c r="C4" s="27" t="s">
        <v>224</v>
      </c>
      <c r="E4" s="105" t="s">
        <v>276</v>
      </c>
      <c r="F4" s="105"/>
      <c r="G4" s="105"/>
      <c r="H4" s="105"/>
    </row>
    <row r="6" spans="3:9" ht="51.75" customHeight="1" x14ac:dyDescent="0.3">
      <c r="C6" s="29" t="s">
        <v>222</v>
      </c>
      <c r="D6" s="30"/>
      <c r="E6" s="106" t="s">
        <v>277</v>
      </c>
      <c r="F6" s="106"/>
      <c r="G6" s="106"/>
      <c r="H6" s="106"/>
      <c r="I6" s="30"/>
    </row>
    <row r="8" spans="3:9" x14ac:dyDescent="0.3">
      <c r="C8" s="27" t="s">
        <v>223</v>
      </c>
      <c r="E8" s="107" t="s">
        <v>331</v>
      </c>
      <c r="F8" s="107"/>
      <c r="G8" s="107"/>
      <c r="H8" s="107"/>
    </row>
    <row r="9" spans="3:9" ht="17.25" x14ac:dyDescent="0.3">
      <c r="E9" s="31"/>
    </row>
    <row r="11" spans="3:9" x14ac:dyDescent="0.3">
      <c r="C11" s="32" t="s">
        <v>55</v>
      </c>
    </row>
    <row r="14" spans="3:9" x14ac:dyDescent="0.3">
      <c r="C14" s="33" t="s">
        <v>201</v>
      </c>
      <c r="D14" s="34"/>
      <c r="E14" s="34"/>
      <c r="F14" s="34"/>
      <c r="G14" s="34"/>
      <c r="H14" s="35" t="str">
        <f>'1. PREDDELA'!F69</f>
        <v/>
      </c>
    </row>
    <row r="15" spans="3:9" x14ac:dyDescent="0.3">
      <c r="H15" s="36"/>
    </row>
    <row r="16" spans="3:9" x14ac:dyDescent="0.3">
      <c r="C16" s="33" t="s">
        <v>202</v>
      </c>
      <c r="D16" s="34"/>
      <c r="E16" s="34"/>
      <c r="F16" s="34"/>
      <c r="G16" s="34"/>
      <c r="H16" s="35" t="str">
        <f>'2. ZEMELJSKA DELA'!F43</f>
        <v/>
      </c>
    </row>
    <row r="17" spans="3:8" x14ac:dyDescent="0.3">
      <c r="H17" s="36"/>
    </row>
    <row r="18" spans="3:8" x14ac:dyDescent="0.3">
      <c r="C18" s="33" t="s">
        <v>203</v>
      </c>
      <c r="D18" s="34"/>
      <c r="E18" s="34"/>
      <c r="F18" s="34"/>
      <c r="G18" s="34"/>
      <c r="H18" s="35" t="str">
        <f>'3. VOZIŠČNE KONSTRUKCIJE'!F61</f>
        <v/>
      </c>
    </row>
    <row r="19" spans="3:8" x14ac:dyDescent="0.3">
      <c r="H19" s="36"/>
    </row>
    <row r="20" spans="3:8" x14ac:dyDescent="0.3">
      <c r="C20" s="33" t="s">
        <v>204</v>
      </c>
      <c r="D20" s="34"/>
      <c r="E20" s="34"/>
      <c r="F20" s="34"/>
      <c r="G20" s="34"/>
      <c r="H20" s="35" t="str">
        <f>'4. ODVODNJAVANJE'!F43</f>
        <v/>
      </c>
    </row>
    <row r="21" spans="3:8" x14ac:dyDescent="0.3">
      <c r="H21" s="36"/>
    </row>
    <row r="22" spans="3:8" x14ac:dyDescent="0.3">
      <c r="C22" s="33" t="s">
        <v>205</v>
      </c>
      <c r="D22" s="34"/>
      <c r="E22" s="34"/>
      <c r="F22" s="34"/>
      <c r="G22" s="34"/>
      <c r="H22" s="35" t="str">
        <f>'5. GRADBENA IN OBRTNIŠKA DELA'!F17</f>
        <v/>
      </c>
    </row>
    <row r="23" spans="3:8" x14ac:dyDescent="0.3">
      <c r="H23" s="36"/>
    </row>
    <row r="24" spans="3:8" x14ac:dyDescent="0.3">
      <c r="C24" s="33" t="s">
        <v>206</v>
      </c>
      <c r="D24" s="34"/>
      <c r="E24" s="34"/>
      <c r="F24" s="34"/>
      <c r="G24" s="34"/>
      <c r="H24" s="35" t="str">
        <f>'6. OPREMA CEST'!F55</f>
        <v/>
      </c>
    </row>
    <row r="25" spans="3:8" x14ac:dyDescent="0.3">
      <c r="H25" s="36"/>
    </row>
    <row r="26" spans="3:8" x14ac:dyDescent="0.3">
      <c r="C26" s="33" t="s">
        <v>207</v>
      </c>
      <c r="D26" s="34"/>
      <c r="E26" s="34"/>
      <c r="F26" s="34"/>
      <c r="G26" s="34"/>
      <c r="H26" s="35" t="str">
        <f>'7. TUJE STORITVE'!F35</f>
        <v/>
      </c>
    </row>
    <row r="27" spans="3:8" x14ac:dyDescent="0.3">
      <c r="H27" s="36"/>
    </row>
    <row r="28" spans="3:8" x14ac:dyDescent="0.3">
      <c r="C28" s="33" t="s">
        <v>405</v>
      </c>
      <c r="D28" s="34"/>
      <c r="E28" s="34"/>
      <c r="F28" s="34"/>
      <c r="G28" s="34"/>
      <c r="H28" s="35" t="str">
        <f>IF(SUM(H14:H26)=0,"",SUM(H14:H26)*0.05)</f>
        <v/>
      </c>
    </row>
    <row r="31" spans="3:8" x14ac:dyDescent="0.3">
      <c r="F31" s="37" t="s">
        <v>56</v>
      </c>
      <c r="H31" s="36" t="str">
        <f>IF(SUM(H14:H28)=0,"",SUM(H14:H28))</f>
        <v/>
      </c>
    </row>
    <row r="32" spans="3:8" x14ac:dyDescent="0.3">
      <c r="F32" s="37"/>
      <c r="H32" s="36"/>
    </row>
    <row r="33" spans="2:8" x14ac:dyDescent="0.3">
      <c r="F33" s="37" t="s">
        <v>216</v>
      </c>
      <c r="H33" s="36" t="str">
        <f>IF(SUM(H31)=0,"",SUM(0.22*H31))</f>
        <v/>
      </c>
    </row>
    <row r="34" spans="2:8" x14ac:dyDescent="0.3">
      <c r="H34" s="36"/>
    </row>
    <row r="35" spans="2:8" x14ac:dyDescent="0.3">
      <c r="H35" s="38"/>
    </row>
    <row r="36" spans="2:8" x14ac:dyDescent="0.3">
      <c r="C36" s="39" t="s">
        <v>57</v>
      </c>
      <c r="D36" s="34"/>
      <c r="E36" s="34"/>
      <c r="F36" s="34"/>
      <c r="G36" s="34"/>
      <c r="H36" s="40" t="str">
        <f>IF(SUM(H31:H33)=0,"",SUM(H31:H33))</f>
        <v/>
      </c>
    </row>
    <row r="41" spans="2:8" ht="17.25" hidden="1" thickBot="1" x14ac:dyDescent="0.35">
      <c r="B41" s="104" t="s">
        <v>58</v>
      </c>
      <c r="C41" s="104"/>
      <c r="D41" s="104"/>
      <c r="E41" s="104"/>
      <c r="F41" s="41">
        <v>1</v>
      </c>
    </row>
  </sheetData>
  <sheetProtection algorithmName="SHA-512" hashValue="T8SxTVSAFJ5dP8nRpD4sotEW/ViQg9AgksevgO0MA7cKL61WfhksVDXd5/6tSFX3Lf8fUDTF1wt8IAxt4PKcUw==" saltValue="5Dt7fgusHdbg0G2J141zOw==" spinCount="100000" sheet="1" selectLockedCells="1"/>
  <mergeCells count="4">
    <mergeCell ref="B41:E41"/>
    <mergeCell ref="E4:H4"/>
    <mergeCell ref="E6:H6"/>
    <mergeCell ref="E8:H8"/>
  </mergeCells>
  <pageMargins left="0.70866141732283472" right="0.70866141732283472" top="0.74803149606299213" bottom="0.74803149606299213" header="0.31496062992125984" footer="0.31496062992125984"/>
  <pageSetup paperSize="9" orientation="portrait" r:id="rId1"/>
  <headerFooter>
    <oddHeader>&amp;L&amp;"Arial Narrow,Navadno"    &amp;G&amp;C&amp;"Arial Narrow,Poševno"&amp;10&amp;A</oddHeader>
    <oddFooter>&amp;L&amp;"Arial Narrow,Navadno"&amp;F&amp;R&amp;"Arial Narrow,Poševno"&amp;10Stran &amp;P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C000"/>
  </sheetPr>
  <dimension ref="A1:I69"/>
  <sheetViews>
    <sheetView view="pageBreakPreview" zoomScaleNormal="115" zoomScaleSheetLayoutView="100" zoomScalePageLayoutView="140" workbookViewId="0">
      <pane ySplit="2" topLeftCell="A8" activePane="bottomLeft" state="frozen"/>
      <selection activeCell="N28" sqref="N28"/>
      <selection pane="bottomLeft" activeCell="F10" sqref="F10"/>
    </sheetView>
  </sheetViews>
  <sheetFormatPr defaultColWidth="9.140625" defaultRowHeight="12.75" x14ac:dyDescent="0.2"/>
  <cols>
    <col min="1" max="1" width="2.140625" style="7" customWidth="1"/>
    <col min="2" max="2" width="6.140625" style="2" customWidth="1"/>
    <col min="3" max="3" width="5.42578125" style="3" customWidth="1"/>
    <col min="4" max="4" width="45.42578125" style="4" customWidth="1"/>
    <col min="5" max="5" width="9.140625" style="5"/>
    <col min="6" max="6" width="9.140625" style="5" customWidth="1"/>
    <col min="7" max="7" width="9.7109375" style="5" customWidth="1"/>
    <col min="8" max="8" width="3.42578125" style="6" customWidth="1"/>
    <col min="9" max="9" width="7.7109375" style="64" hidden="1" customWidth="1"/>
    <col min="10" max="10" width="9.140625" style="6" customWidth="1"/>
    <col min="11" max="16384" width="9.140625" style="6"/>
  </cols>
  <sheetData>
    <row r="1" spans="1:9" x14ac:dyDescent="0.2">
      <c r="A1" s="1"/>
    </row>
    <row r="2" spans="1:9" ht="24.95" customHeight="1" x14ac:dyDescent="0.2">
      <c r="B2" s="8" t="s">
        <v>49</v>
      </c>
      <c r="C2" s="8" t="s">
        <v>54</v>
      </c>
      <c r="D2" s="8" t="s">
        <v>50</v>
      </c>
      <c r="E2" s="9" t="s">
        <v>51</v>
      </c>
      <c r="F2" s="9" t="s">
        <v>52</v>
      </c>
      <c r="G2" s="9" t="s">
        <v>53</v>
      </c>
      <c r="I2" s="65" t="s">
        <v>59</v>
      </c>
    </row>
    <row r="3" spans="1:9" x14ac:dyDescent="0.2">
      <c r="B3" s="10"/>
      <c r="C3" s="10"/>
      <c r="D3" s="11"/>
      <c r="E3" s="12"/>
      <c r="F3" s="12"/>
      <c r="G3" s="12"/>
    </row>
    <row r="4" spans="1:9" ht="15.75" x14ac:dyDescent="0.2">
      <c r="B4" s="110" t="s">
        <v>0</v>
      </c>
      <c r="C4" s="110"/>
      <c r="D4" s="110"/>
      <c r="E4" s="110"/>
      <c r="F4" s="110"/>
      <c r="G4" s="110"/>
    </row>
    <row r="5" spans="1:9" ht="12.75" customHeight="1" x14ac:dyDescent="0.2">
      <c r="B5" s="13"/>
      <c r="C5" s="13"/>
      <c r="D5" s="13"/>
      <c r="E5" s="14" t="str">
        <f>IF(SUM(E8:E11)=0,0,"")</f>
        <v/>
      </c>
      <c r="F5" s="14"/>
      <c r="G5" s="14"/>
    </row>
    <row r="6" spans="1:9" ht="21.2" customHeight="1" x14ac:dyDescent="0.3">
      <c r="B6" s="111" t="s">
        <v>39</v>
      </c>
      <c r="C6" s="112"/>
      <c r="D6" s="112"/>
      <c r="E6" s="15" t="str">
        <f>IF(SUM(E8:E11)=0,0,"")</f>
        <v/>
      </c>
      <c r="F6" s="15"/>
      <c r="G6" s="16"/>
    </row>
    <row r="7" spans="1:9" x14ac:dyDescent="0.2">
      <c r="E7" s="14" t="str">
        <f>IF(SUM(E8:E11)=0,0,"")</f>
        <v/>
      </c>
      <c r="F7" s="14"/>
      <c r="G7" s="14"/>
    </row>
    <row r="8" spans="1:9" ht="38.25" x14ac:dyDescent="0.2">
      <c r="B8" s="17" t="s">
        <v>2</v>
      </c>
      <c r="C8" s="18" t="s">
        <v>1</v>
      </c>
      <c r="D8" s="19" t="s">
        <v>283</v>
      </c>
      <c r="E8" s="49">
        <f>381.9/1000</f>
        <v>0.38189999999999996</v>
      </c>
      <c r="F8" s="102"/>
      <c r="G8" s="20" t="str">
        <f t="shared" ref="G8:G11" si="0">IF(F8="","",E8*F8)</f>
        <v/>
      </c>
      <c r="I8" s="97">
        <v>1410</v>
      </c>
    </row>
    <row r="9" spans="1:9" ht="38.25" x14ac:dyDescent="0.2">
      <c r="B9" s="17" t="s">
        <v>3</v>
      </c>
      <c r="C9" s="18" t="s">
        <v>1</v>
      </c>
      <c r="D9" s="19" t="s">
        <v>284</v>
      </c>
      <c r="E9" s="49">
        <f>+E8</f>
        <v>0.38189999999999996</v>
      </c>
      <c r="F9" s="102"/>
      <c r="G9" s="20" t="str">
        <f t="shared" si="0"/>
        <v/>
      </c>
      <c r="I9" s="89">
        <v>0</v>
      </c>
    </row>
    <row r="10" spans="1:9" ht="38.25" x14ac:dyDescent="0.2">
      <c r="B10" s="17" t="s">
        <v>5</v>
      </c>
      <c r="C10" s="18" t="s">
        <v>4</v>
      </c>
      <c r="D10" s="19" t="s">
        <v>285</v>
      </c>
      <c r="E10" s="49">
        <f>34+5</f>
        <v>39</v>
      </c>
      <c r="F10" s="102"/>
      <c r="G10" s="20" t="str">
        <f t="shared" si="0"/>
        <v/>
      </c>
      <c r="I10" s="97">
        <v>23</v>
      </c>
    </row>
    <row r="11" spans="1:9" ht="38.25" x14ac:dyDescent="0.2">
      <c r="B11" s="17" t="s">
        <v>6</v>
      </c>
      <c r="C11" s="18" t="s">
        <v>4</v>
      </c>
      <c r="D11" s="19" t="s">
        <v>286</v>
      </c>
      <c r="E11" s="49">
        <f>14+10+8+20+32+51</f>
        <v>135</v>
      </c>
      <c r="F11" s="102"/>
      <c r="G11" s="20" t="str">
        <f t="shared" si="0"/>
        <v/>
      </c>
      <c r="I11" s="89">
        <v>0</v>
      </c>
    </row>
    <row r="12" spans="1:9" x14ac:dyDescent="0.2">
      <c r="E12" s="21" t="str">
        <f>IF(AND(E14=0,E22=0,E30=0,E45=0),0,"")</f>
        <v/>
      </c>
      <c r="G12" s="21"/>
    </row>
    <row r="13" spans="1:9" ht="21.2" customHeight="1" x14ac:dyDescent="0.3">
      <c r="B13" s="111" t="s">
        <v>40</v>
      </c>
      <c r="C13" s="112"/>
      <c r="D13" s="112"/>
      <c r="E13" s="15" t="str">
        <f>IF(AND(E14=0,E22=0,E30=0,E45=0),0,"")</f>
        <v/>
      </c>
      <c r="F13" s="15"/>
      <c r="G13" s="16"/>
    </row>
    <row r="14" spans="1:9" ht="21.2" customHeight="1" x14ac:dyDescent="0.25">
      <c r="B14" s="113" t="s">
        <v>41</v>
      </c>
      <c r="C14" s="113"/>
      <c r="D14" s="113"/>
      <c r="E14" s="22" t="str">
        <f>IF(SUM(E16:E19)=0,0,"")</f>
        <v/>
      </c>
      <c r="F14" s="22"/>
      <c r="G14" s="22"/>
    </row>
    <row r="15" spans="1:9" x14ac:dyDescent="0.2">
      <c r="E15" s="14" t="str">
        <f>IF(SUM(E16:E19)=0,0,"")</f>
        <v/>
      </c>
      <c r="F15" s="14"/>
      <c r="G15" s="14"/>
    </row>
    <row r="16" spans="1:9" ht="38.25" x14ac:dyDescent="0.2">
      <c r="B16" s="17" t="s">
        <v>9</v>
      </c>
      <c r="C16" s="18" t="s">
        <v>8</v>
      </c>
      <c r="D16" s="19" t="s">
        <v>60</v>
      </c>
      <c r="E16" s="49">
        <v>50</v>
      </c>
      <c r="F16" s="102"/>
      <c r="G16" s="20" t="str">
        <f t="shared" ref="G16:G20" si="1">IF(F16="","",E16*F16)</f>
        <v/>
      </c>
      <c r="I16" s="76">
        <v>14</v>
      </c>
    </row>
    <row r="17" spans="2:9" ht="38.25" x14ac:dyDescent="0.2">
      <c r="B17" s="17" t="s">
        <v>10</v>
      </c>
      <c r="C17" s="18" t="s">
        <v>4</v>
      </c>
      <c r="D17" s="19" t="s">
        <v>61</v>
      </c>
      <c r="E17" s="49">
        <v>1</v>
      </c>
      <c r="F17" s="102"/>
      <c r="G17" s="20" t="str">
        <f t="shared" si="1"/>
        <v/>
      </c>
      <c r="I17" s="76">
        <v>45</v>
      </c>
    </row>
    <row r="18" spans="2:9" ht="38.25" x14ac:dyDescent="0.2">
      <c r="B18" s="17" t="s">
        <v>11</v>
      </c>
      <c r="C18" s="18" t="s">
        <v>4</v>
      </c>
      <c r="D18" s="19" t="s">
        <v>341</v>
      </c>
      <c r="E18" s="49">
        <v>1</v>
      </c>
      <c r="F18" s="102"/>
      <c r="G18" s="20" t="str">
        <f t="shared" si="1"/>
        <v/>
      </c>
      <c r="I18" s="98">
        <v>60</v>
      </c>
    </row>
    <row r="19" spans="2:9" ht="25.5" x14ac:dyDescent="0.2">
      <c r="B19" s="17" t="s">
        <v>240</v>
      </c>
      <c r="C19" s="18" t="s">
        <v>7</v>
      </c>
      <c r="D19" s="19" t="s">
        <v>241</v>
      </c>
      <c r="E19" s="49">
        <v>48</v>
      </c>
      <c r="F19" s="102"/>
      <c r="G19" s="20" t="str">
        <f t="shared" si="1"/>
        <v/>
      </c>
      <c r="I19" s="80">
        <v>1</v>
      </c>
    </row>
    <row r="20" spans="2:9" ht="38.25" x14ac:dyDescent="0.2">
      <c r="B20" s="17" t="s">
        <v>342</v>
      </c>
      <c r="C20" s="18" t="s">
        <v>7</v>
      </c>
      <c r="D20" s="19" t="s">
        <v>343</v>
      </c>
      <c r="E20" s="49">
        <v>36</v>
      </c>
      <c r="F20" s="102"/>
      <c r="G20" s="20" t="str">
        <f t="shared" si="1"/>
        <v/>
      </c>
      <c r="I20" s="6"/>
    </row>
    <row r="21" spans="2:9" x14ac:dyDescent="0.2">
      <c r="E21" s="14" t="str">
        <f>IF(SUM(E24:E27)=0,0,"")</f>
        <v/>
      </c>
      <c r="F21" s="14"/>
      <c r="G21" s="14"/>
    </row>
    <row r="22" spans="2:9" ht="21.75" customHeight="1" x14ac:dyDescent="0.25">
      <c r="B22" s="114" t="s">
        <v>42</v>
      </c>
      <c r="C22" s="114"/>
      <c r="D22" s="114"/>
      <c r="E22" s="52" t="str">
        <f>IF(SUM(E24:E27)=0,0,"")</f>
        <v/>
      </c>
      <c r="F22" s="52"/>
      <c r="G22" s="52"/>
    </row>
    <row r="23" spans="2:9" x14ac:dyDescent="0.2">
      <c r="E23" s="14" t="str">
        <f>IF(SUM(E24:E27)=0,0,"")</f>
        <v/>
      </c>
      <c r="F23" s="14"/>
      <c r="G23" s="14"/>
    </row>
    <row r="24" spans="2:9" ht="25.5" x14ac:dyDescent="0.2">
      <c r="B24" s="17" t="s">
        <v>12</v>
      </c>
      <c r="C24" s="18" t="s">
        <v>4</v>
      </c>
      <c r="D24" s="19" t="s">
        <v>278</v>
      </c>
      <c r="E24" s="49">
        <f>4+2+5+1+3+2+1</f>
        <v>18</v>
      </c>
      <c r="F24" s="102"/>
      <c r="G24" s="20" t="str">
        <f>IF(F24="","",E24*F24)</f>
        <v/>
      </c>
      <c r="I24" s="88">
        <v>16</v>
      </c>
    </row>
    <row r="25" spans="2:9" ht="38.25" x14ac:dyDescent="0.2">
      <c r="B25" s="17" t="s">
        <v>13</v>
      </c>
      <c r="C25" s="18" t="s">
        <v>14</v>
      </c>
      <c r="D25" s="19" t="s">
        <v>338</v>
      </c>
      <c r="E25" s="49">
        <v>13.5</v>
      </c>
      <c r="F25" s="102"/>
      <c r="G25" s="20" t="str">
        <f t="shared" ref="G25:G27" si="2">IF(F25="","",E25*F25)</f>
        <v/>
      </c>
      <c r="I25" s="88">
        <v>42</v>
      </c>
    </row>
    <row r="26" spans="2:9" ht="25.5" x14ac:dyDescent="0.2">
      <c r="B26" s="17" t="s">
        <v>16</v>
      </c>
      <c r="C26" s="18" t="s">
        <v>14</v>
      </c>
      <c r="D26" s="19" t="s">
        <v>242</v>
      </c>
      <c r="E26" s="49">
        <f>8.5+7+6.5</f>
        <v>22</v>
      </c>
      <c r="F26" s="102"/>
      <c r="G26" s="20" t="str">
        <f t="shared" ref="G26" si="3">IF(F26="","",E26*F26)</f>
        <v/>
      </c>
      <c r="I26" s="86">
        <v>0</v>
      </c>
    </row>
    <row r="27" spans="2:9" ht="25.5" x14ac:dyDescent="0.2">
      <c r="B27" s="17" t="s">
        <v>218</v>
      </c>
      <c r="C27" s="18" t="s">
        <v>4</v>
      </c>
      <c r="D27" s="19" t="s">
        <v>219</v>
      </c>
      <c r="E27" s="49">
        <f>3+1+3+2+1+1</f>
        <v>11</v>
      </c>
      <c r="F27" s="102"/>
      <c r="G27" s="20" t="str">
        <f t="shared" si="2"/>
        <v/>
      </c>
      <c r="I27" s="86">
        <v>0</v>
      </c>
    </row>
    <row r="28" spans="2:9" ht="38.25" x14ac:dyDescent="0.2">
      <c r="B28" s="17" t="s">
        <v>332</v>
      </c>
      <c r="C28" s="18" t="s">
        <v>4</v>
      </c>
      <c r="D28" s="19" t="s">
        <v>333</v>
      </c>
      <c r="E28" s="49">
        <f>16+13</f>
        <v>29</v>
      </c>
      <c r="F28" s="102"/>
      <c r="G28" s="20" t="str">
        <f t="shared" ref="G28" si="4">IF(F28="","",E28*F28)</f>
        <v/>
      </c>
      <c r="I28" s="86">
        <v>0</v>
      </c>
    </row>
    <row r="29" spans="2:9" x14ac:dyDescent="0.2">
      <c r="E29" s="23" t="str">
        <f>IF(SUM(E32:E43)=0,0,"")</f>
        <v/>
      </c>
      <c r="F29" s="23"/>
      <c r="G29" s="23"/>
    </row>
    <row r="30" spans="2:9" ht="21.2" customHeight="1" x14ac:dyDescent="0.2">
      <c r="B30" s="114" t="s">
        <v>43</v>
      </c>
      <c r="C30" s="114"/>
      <c r="D30" s="114"/>
      <c r="E30" s="24" t="str">
        <f>IF(SUM(E32:E43)=0,0,"")</f>
        <v/>
      </c>
      <c r="F30" s="24"/>
      <c r="G30" s="24"/>
    </row>
    <row r="31" spans="2:9" x14ac:dyDescent="0.2">
      <c r="E31" s="23" t="str">
        <f>IF(SUM(E32:E43)=0,0,"")</f>
        <v/>
      </c>
      <c r="F31" s="23"/>
      <c r="G31" s="23"/>
    </row>
    <row r="32" spans="2:9" ht="38.25" x14ac:dyDescent="0.2">
      <c r="B32" s="17" t="s">
        <v>17</v>
      </c>
      <c r="C32" s="18" t="s">
        <v>8</v>
      </c>
      <c r="D32" s="19" t="s">
        <v>287</v>
      </c>
      <c r="E32" s="49">
        <f>1337.7*1.15</f>
        <v>1538.355</v>
      </c>
      <c r="F32" s="102"/>
      <c r="G32" s="20" t="str">
        <f t="shared" ref="G32:G43" si="5">IF(F32="","",E32*F32)</f>
        <v/>
      </c>
      <c r="I32" s="90">
        <v>3</v>
      </c>
    </row>
    <row r="33" spans="2:9" ht="38.25" x14ac:dyDescent="0.2">
      <c r="B33" s="17" t="s">
        <v>18</v>
      </c>
      <c r="C33" s="18" t="s">
        <v>8</v>
      </c>
      <c r="D33" s="19" t="s">
        <v>288</v>
      </c>
      <c r="E33" s="49">
        <f>(55.6+122)*1.15</f>
        <v>204.23999999999998</v>
      </c>
      <c r="F33" s="102"/>
      <c r="G33" s="20" t="str">
        <f t="shared" si="5"/>
        <v/>
      </c>
      <c r="I33" s="76">
        <v>5</v>
      </c>
    </row>
    <row r="34" spans="2:9" ht="38.25" x14ac:dyDescent="0.2">
      <c r="B34" s="17" t="s">
        <v>19</v>
      </c>
      <c r="C34" s="18" t="s">
        <v>8</v>
      </c>
      <c r="D34" s="19" t="s">
        <v>289</v>
      </c>
      <c r="E34" s="49">
        <f>(3210.6-55.6-122)*1.15</f>
        <v>3487.95</v>
      </c>
      <c r="F34" s="102"/>
      <c r="G34" s="20" t="str">
        <f t="shared" si="5"/>
        <v/>
      </c>
      <c r="I34" s="76">
        <v>7</v>
      </c>
    </row>
    <row r="35" spans="2:9" ht="51" x14ac:dyDescent="0.2">
      <c r="B35" s="17" t="s">
        <v>20</v>
      </c>
      <c r="C35" s="18" t="s">
        <v>8</v>
      </c>
      <c r="D35" s="19" t="s">
        <v>344</v>
      </c>
      <c r="E35" s="49">
        <v>50</v>
      </c>
      <c r="F35" s="102"/>
      <c r="G35" s="20" t="str">
        <f t="shared" si="5"/>
        <v/>
      </c>
      <c r="I35" s="83">
        <v>0</v>
      </c>
    </row>
    <row r="36" spans="2:9" ht="38.25" x14ac:dyDescent="0.2">
      <c r="B36" s="17" t="s">
        <v>21</v>
      </c>
      <c r="C36" s="18" t="s">
        <v>8</v>
      </c>
      <c r="D36" s="19" t="s">
        <v>268</v>
      </c>
      <c r="E36" s="49">
        <f>E39*0.3</f>
        <v>4.6500000000000004</v>
      </c>
      <c r="F36" s="102"/>
      <c r="G36" s="20" t="str">
        <f t="shared" si="5"/>
        <v/>
      </c>
      <c r="I36" s="83">
        <v>0</v>
      </c>
    </row>
    <row r="37" spans="2:9" ht="38.25" x14ac:dyDescent="0.2">
      <c r="B37" s="17" t="s">
        <v>22</v>
      </c>
      <c r="C37" s="18" t="s">
        <v>8</v>
      </c>
      <c r="D37" s="19" t="s">
        <v>275</v>
      </c>
      <c r="E37" s="49">
        <f>E40*0.5</f>
        <v>17.600000000000001</v>
      </c>
      <c r="F37" s="102"/>
      <c r="G37" s="20" t="str">
        <f t="shared" si="5"/>
        <v/>
      </c>
      <c r="I37" s="83">
        <v>0</v>
      </c>
    </row>
    <row r="38" spans="2:9" ht="38.25" x14ac:dyDescent="0.2">
      <c r="B38" s="17" t="s">
        <v>23</v>
      </c>
      <c r="C38" s="18" t="s">
        <v>8</v>
      </c>
      <c r="D38" s="19" t="s">
        <v>269</v>
      </c>
      <c r="E38" s="49">
        <f>E41*0.5</f>
        <v>32.300000000000004</v>
      </c>
      <c r="F38" s="102"/>
      <c r="G38" s="20" t="str">
        <f t="shared" si="5"/>
        <v/>
      </c>
      <c r="I38" s="83">
        <v>0</v>
      </c>
    </row>
    <row r="39" spans="2:9" ht="38.25" x14ac:dyDescent="0.2">
      <c r="B39" s="17" t="s">
        <v>24</v>
      </c>
      <c r="C39" s="18" t="s">
        <v>14</v>
      </c>
      <c r="D39" s="19" t="s">
        <v>267</v>
      </c>
      <c r="E39" s="49">
        <f>1.6*2+1.6+1.4+2.4+2.3+2+2.6</f>
        <v>15.500000000000002</v>
      </c>
      <c r="F39" s="102"/>
      <c r="G39" s="20" t="str">
        <f t="shared" si="5"/>
        <v/>
      </c>
      <c r="I39" s="76">
        <v>1</v>
      </c>
    </row>
    <row r="40" spans="2:9" ht="38.25" x14ac:dyDescent="0.2">
      <c r="B40" s="17" t="s">
        <v>25</v>
      </c>
      <c r="C40" s="18" t="s">
        <v>14</v>
      </c>
      <c r="D40" s="19" t="s">
        <v>274</v>
      </c>
      <c r="E40" s="49">
        <f>5+8.7+4+4+13.5</f>
        <v>35.200000000000003</v>
      </c>
      <c r="F40" s="102"/>
      <c r="G40" s="20" t="str">
        <f t="shared" si="5"/>
        <v/>
      </c>
      <c r="I40" s="76">
        <v>1.1000000000000001</v>
      </c>
    </row>
    <row r="41" spans="2:9" ht="38.25" x14ac:dyDescent="0.2">
      <c r="B41" s="17" t="s">
        <v>26</v>
      </c>
      <c r="C41" s="18" t="s">
        <v>14</v>
      </c>
      <c r="D41" s="19" t="s">
        <v>266</v>
      </c>
      <c r="E41" s="49">
        <f>47.7+6.2+10.7</f>
        <v>64.600000000000009</v>
      </c>
      <c r="F41" s="102"/>
      <c r="G41" s="20" t="str">
        <f t="shared" si="5"/>
        <v/>
      </c>
      <c r="I41" s="76">
        <v>1.2</v>
      </c>
    </row>
    <row r="42" spans="2:9" ht="25.5" x14ac:dyDescent="0.2">
      <c r="B42" s="17" t="s">
        <v>27</v>
      </c>
      <c r="C42" s="18" t="s">
        <v>14</v>
      </c>
      <c r="D42" s="19" t="s">
        <v>62</v>
      </c>
      <c r="E42" s="49">
        <f>84.5+108.2+219.5+33+180.5+132.7+31</f>
        <v>789.40000000000009</v>
      </c>
      <c r="F42" s="102"/>
      <c r="G42" s="20" t="str">
        <f t="shared" si="5"/>
        <v/>
      </c>
      <c r="I42" s="91">
        <v>14</v>
      </c>
    </row>
    <row r="43" spans="2:9" ht="25.5" x14ac:dyDescent="0.2">
      <c r="B43" s="17" t="s">
        <v>28</v>
      </c>
      <c r="C43" s="18" t="s">
        <v>14</v>
      </c>
      <c r="D43" s="19" t="s">
        <v>239</v>
      </c>
      <c r="E43" s="49">
        <f>71.2+95.7+3+28+33+6.6+19+4+37+31.5+73.7+97+25+61+11</f>
        <v>596.70000000000005</v>
      </c>
      <c r="F43" s="102"/>
      <c r="G43" s="20" t="str">
        <f t="shared" si="5"/>
        <v/>
      </c>
      <c r="I43" s="91">
        <v>14</v>
      </c>
    </row>
    <row r="44" spans="2:9" x14ac:dyDescent="0.2">
      <c r="E44" s="23" t="str">
        <f>IF(SUM(E47:E50)=0,0,"")</f>
        <v/>
      </c>
      <c r="F44" s="23"/>
      <c r="G44" s="23"/>
    </row>
    <row r="45" spans="2:9" ht="21.2" customHeight="1" x14ac:dyDescent="0.2">
      <c r="B45" s="114" t="s">
        <v>44</v>
      </c>
      <c r="C45" s="114"/>
      <c r="D45" s="114"/>
      <c r="E45" s="24" t="str">
        <f>IF(SUM(E47:E50)=0,0,"")</f>
        <v/>
      </c>
      <c r="F45" s="24"/>
      <c r="G45" s="24"/>
    </row>
    <row r="46" spans="2:9" x14ac:dyDescent="0.2">
      <c r="E46" s="23" t="str">
        <f>IF(SUM(E47:E50)=0,0,"")</f>
        <v/>
      </c>
      <c r="F46" s="23"/>
      <c r="G46" s="23"/>
    </row>
    <row r="47" spans="2:9" ht="38.25" x14ac:dyDescent="0.2">
      <c r="B47" s="17" t="s">
        <v>29</v>
      </c>
      <c r="C47" s="18" t="s">
        <v>14</v>
      </c>
      <c r="D47" s="19" t="s">
        <v>270</v>
      </c>
      <c r="E47" s="49">
        <f>(18+11)*4.5</f>
        <v>130.5</v>
      </c>
      <c r="F47" s="102"/>
      <c r="G47" s="20" t="str">
        <f t="shared" ref="G47:G50" si="6">IF(F47="","",E47*F47)</f>
        <v/>
      </c>
      <c r="I47" s="77">
        <v>15.4</v>
      </c>
    </row>
    <row r="48" spans="2:9" ht="38.25" x14ac:dyDescent="0.2">
      <c r="B48" s="17" t="s">
        <v>30</v>
      </c>
      <c r="C48" s="18" t="s">
        <v>14</v>
      </c>
      <c r="D48" s="19" t="s">
        <v>271</v>
      </c>
      <c r="E48" s="49">
        <f>18*2+11*2</f>
        <v>58</v>
      </c>
      <c r="F48" s="102"/>
      <c r="G48" s="20" t="str">
        <f t="shared" si="6"/>
        <v/>
      </c>
      <c r="I48" s="78">
        <v>14</v>
      </c>
    </row>
    <row r="49" spans="2:9" ht="38.25" x14ac:dyDescent="0.2">
      <c r="B49" s="17" t="s">
        <v>31</v>
      </c>
      <c r="C49" s="18" t="s">
        <v>15</v>
      </c>
      <c r="D49" s="19" t="s">
        <v>355</v>
      </c>
      <c r="E49" s="49">
        <f>(2+2+4.5+2+2+3)*(0.5*0.5)</f>
        <v>3.875</v>
      </c>
      <c r="F49" s="102"/>
      <c r="G49" s="20" t="str">
        <f t="shared" si="6"/>
        <v/>
      </c>
      <c r="I49" s="85">
        <v>0</v>
      </c>
    </row>
    <row r="50" spans="2:9" ht="38.25" x14ac:dyDescent="0.2">
      <c r="B50" s="17" t="s">
        <v>32</v>
      </c>
      <c r="C50" s="18" t="s">
        <v>14</v>
      </c>
      <c r="D50" s="19" t="s">
        <v>282</v>
      </c>
      <c r="E50" s="49">
        <v>4</v>
      </c>
      <c r="F50" s="102"/>
      <c r="G50" s="20" t="str">
        <f t="shared" si="6"/>
        <v/>
      </c>
      <c r="I50" s="85">
        <v>0</v>
      </c>
    </row>
    <row r="51" spans="2:9" ht="38.25" x14ac:dyDescent="0.2">
      <c r="B51" s="17" t="s">
        <v>336</v>
      </c>
      <c r="C51" s="18" t="s">
        <v>4</v>
      </c>
      <c r="D51" s="19" t="s">
        <v>337</v>
      </c>
      <c r="E51" s="20">
        <v>2</v>
      </c>
      <c r="F51" s="102"/>
      <c r="G51" s="20" t="str">
        <f t="shared" ref="G51" si="7">IF(F51="","",E51*F51)</f>
        <v/>
      </c>
      <c r="I51" s="86">
        <v>0</v>
      </c>
    </row>
    <row r="52" spans="2:9" x14ac:dyDescent="0.2">
      <c r="E52" s="21"/>
      <c r="F52" s="21"/>
      <c r="G52" s="21"/>
    </row>
    <row r="53" spans="2:9" ht="21.2" customHeight="1" x14ac:dyDescent="0.3">
      <c r="B53" s="111" t="s">
        <v>45</v>
      </c>
      <c r="C53" s="112"/>
      <c r="D53" s="112"/>
      <c r="E53" s="15"/>
      <c r="F53" s="15"/>
      <c r="G53" s="16"/>
    </row>
    <row r="54" spans="2:9" ht="20.25" customHeight="1" x14ac:dyDescent="0.25">
      <c r="B54" s="113" t="s">
        <v>46</v>
      </c>
      <c r="C54" s="113"/>
      <c r="D54" s="113"/>
      <c r="E54" s="22" t="str">
        <f>IF(SUM(E56:E57)=0,0,"")</f>
        <v/>
      </c>
      <c r="F54" s="22"/>
      <c r="G54" s="22"/>
    </row>
    <row r="55" spans="2:9" x14ac:dyDescent="0.2">
      <c r="E55" s="14" t="str">
        <f>IF(SUM(E56:E57)=0,0,"")</f>
        <v/>
      </c>
      <c r="F55" s="14"/>
      <c r="G55" s="14"/>
    </row>
    <row r="56" spans="2:9" ht="38.25" x14ac:dyDescent="0.2">
      <c r="B56" s="17" t="s">
        <v>34</v>
      </c>
      <c r="C56" s="18" t="s">
        <v>33</v>
      </c>
      <c r="D56" s="19" t="s">
        <v>63</v>
      </c>
      <c r="E56" s="20">
        <v>75</v>
      </c>
      <c r="F56" s="102"/>
      <c r="G56" s="20" t="str">
        <f t="shared" ref="G56:G58" si="8">IF(F56="","",E56*F56)</f>
        <v/>
      </c>
      <c r="I56" s="80">
        <v>60</v>
      </c>
    </row>
    <row r="57" spans="2:9" ht="25.5" x14ac:dyDescent="0.2">
      <c r="B57" s="17" t="s">
        <v>35</v>
      </c>
      <c r="C57" s="18" t="s">
        <v>33</v>
      </c>
      <c r="D57" s="19" t="s">
        <v>232</v>
      </c>
      <c r="E57" s="49">
        <v>30</v>
      </c>
      <c r="F57" s="102"/>
      <c r="G57" s="20" t="str">
        <f t="shared" si="8"/>
        <v/>
      </c>
      <c r="I57" s="80">
        <v>0</v>
      </c>
    </row>
    <row r="58" spans="2:9" ht="25.5" x14ac:dyDescent="0.2">
      <c r="B58" s="17" t="s">
        <v>213</v>
      </c>
      <c r="C58" s="18" t="s">
        <v>4</v>
      </c>
      <c r="D58" s="19" t="s">
        <v>214</v>
      </c>
      <c r="E58" s="49">
        <v>1</v>
      </c>
      <c r="F58" s="102"/>
      <c r="G58" s="20" t="str">
        <f t="shared" si="8"/>
        <v/>
      </c>
      <c r="I58" s="6"/>
    </row>
    <row r="59" spans="2:9" ht="21.2" customHeight="1" x14ac:dyDescent="0.25">
      <c r="B59" s="114" t="s">
        <v>47</v>
      </c>
      <c r="C59" s="114"/>
      <c r="D59" s="114"/>
      <c r="E59" s="52" t="str">
        <f>IF(SUM(E61:E61)=0,0,"")</f>
        <v/>
      </c>
      <c r="F59" s="52"/>
      <c r="G59" s="52"/>
    </row>
    <row r="60" spans="2:9" x14ac:dyDescent="0.2">
      <c r="E60" s="14" t="str">
        <f>IF(SUM(E61:E61)=0,0,"")</f>
        <v/>
      </c>
      <c r="F60" s="14"/>
      <c r="G60" s="14"/>
    </row>
    <row r="61" spans="2:9" ht="25.5" x14ac:dyDescent="0.2">
      <c r="B61" s="17" t="s">
        <v>36</v>
      </c>
      <c r="C61" s="18" t="s">
        <v>4</v>
      </c>
      <c r="D61" s="19" t="s">
        <v>279</v>
      </c>
      <c r="E61" s="49">
        <v>1</v>
      </c>
      <c r="F61" s="102"/>
      <c r="G61" s="20" t="str">
        <f>IF(F61="","",E61*F61)</f>
        <v/>
      </c>
      <c r="I61" s="82">
        <v>0</v>
      </c>
    </row>
    <row r="62" spans="2:9" ht="76.5" x14ac:dyDescent="0.2">
      <c r="B62" s="17" t="s">
        <v>339</v>
      </c>
      <c r="C62" s="18" t="s">
        <v>4</v>
      </c>
      <c r="D62" s="19" t="s">
        <v>340</v>
      </c>
      <c r="E62" s="20">
        <v>12</v>
      </c>
      <c r="F62" s="103"/>
      <c r="G62" s="20" t="str">
        <f t="shared" ref="G62" si="9">IF(F62="","",E62*F62)</f>
        <v/>
      </c>
      <c r="I62" s="6"/>
    </row>
    <row r="63" spans="2:9" x14ac:dyDescent="0.2">
      <c r="E63" s="14" t="str">
        <f>IF(SUM(E66:E67)=0,0,"")</f>
        <v/>
      </c>
      <c r="F63" s="14"/>
      <c r="G63" s="14"/>
    </row>
    <row r="64" spans="2:9" ht="21.2" customHeight="1" x14ac:dyDescent="0.25">
      <c r="B64" s="114" t="s">
        <v>48</v>
      </c>
      <c r="C64" s="114"/>
      <c r="D64" s="114"/>
      <c r="E64" s="52" t="str">
        <f>IF(SUM(E66:E67)=0,0,"")</f>
        <v/>
      </c>
      <c r="F64" s="52"/>
      <c r="G64" s="52"/>
    </row>
    <row r="65" spans="2:9" x14ac:dyDescent="0.2">
      <c r="E65" s="14" t="str">
        <f>IF(SUM(E66:E67)=0,0,"")</f>
        <v/>
      </c>
      <c r="F65" s="14"/>
      <c r="G65" s="14"/>
    </row>
    <row r="66" spans="2:9" ht="25.5" x14ac:dyDescent="0.2">
      <c r="B66" s="17" t="s">
        <v>37</v>
      </c>
      <c r="C66" s="18" t="s">
        <v>4</v>
      </c>
      <c r="D66" s="19" t="s">
        <v>281</v>
      </c>
      <c r="E66" s="49">
        <v>1</v>
      </c>
      <c r="F66" s="102"/>
      <c r="G66" s="20" t="str">
        <f>IF(F66="","",E66*F66)</f>
        <v/>
      </c>
      <c r="I66" s="80">
        <v>0</v>
      </c>
    </row>
    <row r="67" spans="2:9" ht="25.5" x14ac:dyDescent="0.2">
      <c r="B67" s="17" t="s">
        <v>38</v>
      </c>
      <c r="C67" s="18" t="s">
        <v>4</v>
      </c>
      <c r="D67" s="19" t="s">
        <v>280</v>
      </c>
      <c r="E67" s="49">
        <v>1</v>
      </c>
      <c r="F67" s="102"/>
      <c r="G67" s="20" t="str">
        <f t="shared" ref="G67" si="10">IF(F67="","",E67*F67)</f>
        <v/>
      </c>
      <c r="I67" s="80">
        <v>0</v>
      </c>
    </row>
    <row r="68" spans="2:9" ht="13.5" thickBot="1" x14ac:dyDescent="0.25"/>
    <row r="69" spans="2:9" ht="16.5" thickBot="1" x14ac:dyDescent="0.25">
      <c r="D69" s="25" t="s">
        <v>64</v>
      </c>
      <c r="E69" s="26"/>
      <c r="F69" s="108" t="str">
        <f>IF(SUM(G8:G67)=0,"",SUM(G8:G67))</f>
        <v/>
      </c>
      <c r="G69" s="109"/>
    </row>
  </sheetData>
  <sheetProtection algorithmName="SHA-512" hashValue="BP3eDXmQyE7BUw6ADztzqbg2wmN54mhUeHzzkvlaqIYK0QdI//hqrYOpsjBQ9Q8lgCeDPvb2+aCCNV4uZKB83w==" saltValue="Fe/zP/lRiwCUnzrG2cE6BQ==" spinCount="100000" sheet="1" selectLockedCells="1"/>
  <dataConsolidate/>
  <mergeCells count="12">
    <mergeCell ref="F69:G69"/>
    <mergeCell ref="B4:G4"/>
    <mergeCell ref="B6:D6"/>
    <mergeCell ref="B13:D13"/>
    <mergeCell ref="B14:D14"/>
    <mergeCell ref="B22:D22"/>
    <mergeCell ref="B30:D30"/>
    <mergeCell ref="B45:D45"/>
    <mergeCell ref="B53:D53"/>
    <mergeCell ref="B54:D54"/>
    <mergeCell ref="B59:D59"/>
    <mergeCell ref="B64:D64"/>
  </mergeCells>
  <pageMargins left="0.70866141732283472" right="0.70866141732283472" top="0.74803149606299213" bottom="0.74803149606299213" header="0.31496062992125984" footer="0.31496062992125984"/>
  <pageSetup paperSize="9" orientation="portrait" r:id="rId1"/>
  <headerFooter>
    <oddHeader>&amp;L&amp;"Arial Narrow,Navadno"    &amp;G&amp;C&amp;"Arial Narrow,Poševno"&amp;10&amp;A</oddHeader>
    <oddFooter>&amp;C&amp;"Arial Narrow,Poševno"&amp;10Stran &amp;P / &amp;N</oddFooter>
  </headerFooter>
  <rowBreaks count="1" manualBreakCount="1">
    <brk id="52"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rgb="FFFFFF00"/>
  </sheetPr>
  <dimension ref="A1:I43"/>
  <sheetViews>
    <sheetView view="pageBreakPreview" zoomScaleNormal="130" zoomScaleSheetLayoutView="100" zoomScalePageLayoutView="120" workbookViewId="0">
      <pane ySplit="2" topLeftCell="A26" activePane="bottomLeft" state="frozen"/>
      <selection activeCell="N28" sqref="N28"/>
      <selection pane="bottomLeft" activeCell="F38" sqref="F38"/>
    </sheetView>
  </sheetViews>
  <sheetFormatPr defaultColWidth="9.140625" defaultRowHeight="12.75" x14ac:dyDescent="0.2"/>
  <cols>
    <col min="1" max="1" width="2.140625" style="7" customWidth="1"/>
    <col min="2" max="2" width="6.28515625" style="2" customWidth="1"/>
    <col min="3" max="3" width="5.28515625" style="3" customWidth="1"/>
    <col min="4" max="4" width="45.42578125" style="4" customWidth="1"/>
    <col min="5" max="5" width="9.140625" style="5"/>
    <col min="6" max="6" width="9.140625" style="5" customWidth="1"/>
    <col min="7" max="7" width="9.7109375" style="5" customWidth="1"/>
    <col min="8" max="8" width="4" style="6" hidden="1" customWidth="1"/>
    <col min="9" max="9" width="8.7109375" style="64" hidden="1" customWidth="1"/>
    <col min="10" max="10" width="9.140625" style="6" customWidth="1"/>
    <col min="11" max="16384" width="9.140625" style="6"/>
  </cols>
  <sheetData>
    <row r="1" spans="1:9" x14ac:dyDescent="0.2">
      <c r="A1" s="1"/>
    </row>
    <row r="2" spans="1:9" ht="24.95" customHeight="1" x14ac:dyDescent="0.2">
      <c r="B2" s="42" t="s">
        <v>49</v>
      </c>
      <c r="C2" s="42" t="s">
        <v>54</v>
      </c>
      <c r="D2" s="42" t="s">
        <v>50</v>
      </c>
      <c r="E2" s="43" t="s">
        <v>51</v>
      </c>
      <c r="F2" s="43" t="s">
        <v>52</v>
      </c>
      <c r="G2" s="43" t="s">
        <v>53</v>
      </c>
      <c r="I2" s="65" t="s">
        <v>59</v>
      </c>
    </row>
    <row r="3" spans="1:9" x14ac:dyDescent="0.2">
      <c r="B3" s="44"/>
      <c r="C3" s="44"/>
      <c r="D3" s="45"/>
      <c r="E3" s="46"/>
      <c r="F3" s="46"/>
      <c r="G3" s="46"/>
    </row>
    <row r="4" spans="1:9" ht="15.75" x14ac:dyDescent="0.2">
      <c r="B4" s="110" t="s">
        <v>65</v>
      </c>
      <c r="C4" s="110"/>
      <c r="D4" s="110"/>
      <c r="E4" s="110"/>
      <c r="F4" s="110"/>
      <c r="G4" s="110"/>
    </row>
    <row r="5" spans="1:9" ht="12.75" customHeight="1" x14ac:dyDescent="0.2">
      <c r="B5" s="13"/>
      <c r="C5" s="13"/>
      <c r="D5" s="13"/>
      <c r="E5" s="14" t="str">
        <f>IF(SUM(E8:E13)=0,0,"")</f>
        <v/>
      </c>
      <c r="F5" s="14"/>
      <c r="G5" s="14"/>
    </row>
    <row r="6" spans="1:9" ht="21.2" customHeight="1" x14ac:dyDescent="0.3">
      <c r="B6" s="111" t="s">
        <v>96</v>
      </c>
      <c r="C6" s="112"/>
      <c r="D6" s="112"/>
      <c r="E6" s="15" t="str">
        <f>IF(SUM(E8:E13)=0,0,"")</f>
        <v/>
      </c>
      <c r="F6" s="15"/>
      <c r="G6" s="16"/>
    </row>
    <row r="7" spans="1:9" x14ac:dyDescent="0.2">
      <c r="E7" s="14" t="str">
        <f>IF(SUM(E8:E13)=0,0,"")</f>
        <v/>
      </c>
      <c r="F7" s="14"/>
      <c r="G7" s="14"/>
    </row>
    <row r="8" spans="1:9" ht="38.25" x14ac:dyDescent="0.2">
      <c r="B8" s="17" t="s">
        <v>66</v>
      </c>
      <c r="C8" s="18" t="s">
        <v>15</v>
      </c>
      <c r="D8" s="19" t="s">
        <v>88</v>
      </c>
      <c r="E8" s="49">
        <f>(550)*0.2</f>
        <v>110</v>
      </c>
      <c r="F8" s="102"/>
      <c r="G8" s="20" t="str">
        <f t="shared" ref="G8:G13" si="0">IF(F8="","",E8*F8)</f>
        <v/>
      </c>
      <c r="I8" s="92">
        <v>5.28</v>
      </c>
    </row>
    <row r="9" spans="1:9" ht="25.5" x14ac:dyDescent="0.2">
      <c r="B9" s="17" t="s">
        <v>68</v>
      </c>
      <c r="C9" s="18" t="s">
        <v>15</v>
      </c>
      <c r="D9" s="19" t="s">
        <v>272</v>
      </c>
      <c r="E9" s="49">
        <f>(1375*0.7+4010*0.8)*1.2</f>
        <v>5004.5999999999995</v>
      </c>
      <c r="F9" s="102"/>
      <c r="G9" s="20" t="str">
        <f t="shared" si="0"/>
        <v/>
      </c>
      <c r="I9" s="94">
        <v>5.28</v>
      </c>
    </row>
    <row r="10" spans="1:9" ht="51" x14ac:dyDescent="0.2">
      <c r="B10" s="17" t="s">
        <v>69</v>
      </c>
      <c r="C10" s="18" t="s">
        <v>15</v>
      </c>
      <c r="D10" s="19" t="s">
        <v>291</v>
      </c>
      <c r="E10" s="49">
        <f>E11*0.1</f>
        <v>27.490799999999997</v>
      </c>
      <c r="F10" s="102"/>
      <c r="G10" s="20" t="str">
        <f t="shared" si="0"/>
        <v/>
      </c>
      <c r="I10" s="93">
        <v>37.18</v>
      </c>
    </row>
    <row r="11" spans="1:9" ht="51" x14ac:dyDescent="0.2">
      <c r="B11" s="17" t="s">
        <v>70</v>
      </c>
      <c r="C11" s="18" t="s">
        <v>15</v>
      </c>
      <c r="D11" s="19" t="s">
        <v>89</v>
      </c>
      <c r="E11" s="49">
        <f>(55*3+275.3*0.5)*0.6*1.2+57</f>
        <v>274.90799999999996</v>
      </c>
      <c r="F11" s="102"/>
      <c r="G11" s="20" t="str">
        <f t="shared" si="0"/>
        <v/>
      </c>
      <c r="I11" s="93">
        <v>8.8000000000000007</v>
      </c>
    </row>
    <row r="12" spans="1:9" ht="51" x14ac:dyDescent="0.2">
      <c r="B12" s="17" t="s">
        <v>71</v>
      </c>
      <c r="C12" s="18" t="s">
        <v>15</v>
      </c>
      <c r="D12" s="19" t="s">
        <v>90</v>
      </c>
      <c r="E12" s="49">
        <f>E13*0.1</f>
        <v>20.2272</v>
      </c>
      <c r="F12" s="102"/>
      <c r="G12" s="20" t="str">
        <f t="shared" si="0"/>
        <v/>
      </c>
      <c r="I12" s="95">
        <v>53.9</v>
      </c>
    </row>
    <row r="13" spans="1:9" ht="51" x14ac:dyDescent="0.2">
      <c r="B13" s="17" t="s">
        <v>72</v>
      </c>
      <c r="C13" s="18" t="s">
        <v>15</v>
      </c>
      <c r="D13" s="19" t="s">
        <v>91</v>
      </c>
      <c r="E13" s="49">
        <f>(55*3+275.3*0.5)*0.4*1.2+57</f>
        <v>202.27199999999999</v>
      </c>
      <c r="F13" s="102"/>
      <c r="G13" s="20" t="str">
        <f t="shared" si="0"/>
        <v/>
      </c>
      <c r="I13" s="95">
        <v>11.33</v>
      </c>
    </row>
    <row r="14" spans="1:9" x14ac:dyDescent="0.2">
      <c r="E14" s="14" t="str">
        <f>IF(SUM(E17:E17)=0,0,"")</f>
        <v/>
      </c>
      <c r="F14" s="14"/>
      <c r="G14" s="14"/>
    </row>
    <row r="15" spans="1:9" ht="21.2" customHeight="1" x14ac:dyDescent="0.3">
      <c r="B15" s="111" t="s">
        <v>67</v>
      </c>
      <c r="C15" s="112"/>
      <c r="D15" s="112"/>
      <c r="E15" s="15" t="str">
        <f>IF(SUM(E17:E17)=0,0,"")</f>
        <v/>
      </c>
      <c r="F15" s="15"/>
      <c r="G15" s="16"/>
    </row>
    <row r="16" spans="1:9" x14ac:dyDescent="0.2">
      <c r="E16" s="14"/>
      <c r="F16" s="14"/>
      <c r="G16" s="14"/>
    </row>
    <row r="17" spans="1:9" ht="25.5" x14ac:dyDescent="0.2">
      <c r="B17" s="17" t="s">
        <v>73</v>
      </c>
      <c r="C17" s="18" t="s">
        <v>8</v>
      </c>
      <c r="D17" s="47" t="s">
        <v>92</v>
      </c>
      <c r="E17" s="49">
        <f>5098*1.1</f>
        <v>5607.8</v>
      </c>
      <c r="F17" s="102"/>
      <c r="G17" s="20" t="str">
        <f t="shared" ref="G17" si="1">IF(F17="","",E17*F17)</f>
        <v/>
      </c>
      <c r="I17" s="86">
        <v>2</v>
      </c>
    </row>
    <row r="18" spans="1:9" x14ac:dyDescent="0.2">
      <c r="E18" s="14" t="str">
        <f>IF(SUM(E21:E21)=0,0,"")</f>
        <v/>
      </c>
      <c r="F18" s="14"/>
      <c r="G18" s="14"/>
    </row>
    <row r="19" spans="1:9" ht="21.2" customHeight="1" x14ac:dyDescent="0.3">
      <c r="B19" s="111" t="s">
        <v>97</v>
      </c>
      <c r="C19" s="112"/>
      <c r="D19" s="112"/>
      <c r="E19" s="15" t="str">
        <f>IF(SUM(E21:E21)=0,0,"")</f>
        <v/>
      </c>
      <c r="F19" s="15"/>
      <c r="G19" s="16"/>
    </row>
    <row r="20" spans="1:9" x14ac:dyDescent="0.2">
      <c r="E20" s="14" t="str">
        <f>IF(SUM(E21:E21)=0,0,"")</f>
        <v/>
      </c>
      <c r="F20" s="14"/>
      <c r="G20" s="14"/>
    </row>
    <row r="21" spans="1:9" s="56" customFormat="1" ht="38.25" x14ac:dyDescent="0.2">
      <c r="A21" s="53"/>
      <c r="B21" s="54" t="s">
        <v>74</v>
      </c>
      <c r="C21" s="55" t="s">
        <v>8</v>
      </c>
      <c r="D21" s="47" t="s">
        <v>93</v>
      </c>
      <c r="E21" s="49">
        <f>E17*1.3</f>
        <v>7290.14</v>
      </c>
      <c r="F21" s="103"/>
      <c r="G21" s="49" t="str">
        <f t="shared" ref="G21" si="2">IF(F21="","",E21*F21)</f>
        <v/>
      </c>
      <c r="I21" s="101">
        <v>0</v>
      </c>
    </row>
    <row r="22" spans="1:9" x14ac:dyDescent="0.2">
      <c r="E22" s="48"/>
      <c r="F22" s="14"/>
      <c r="G22" s="14"/>
    </row>
    <row r="23" spans="1:9" ht="21.2" customHeight="1" x14ac:dyDescent="0.3">
      <c r="B23" s="111" t="s">
        <v>98</v>
      </c>
      <c r="C23" s="112"/>
      <c r="D23" s="112"/>
      <c r="E23" s="15" t="str">
        <f>IF(SUM(E25:E27)=0,0,"")</f>
        <v/>
      </c>
      <c r="F23" s="15"/>
      <c r="G23" s="16"/>
    </row>
    <row r="24" spans="1:9" x14ac:dyDescent="0.2">
      <c r="E24" s="14" t="str">
        <f>IF(SUM(E25:E27)=0,0,"")</f>
        <v/>
      </c>
      <c r="F24" s="14"/>
      <c r="G24" s="14"/>
    </row>
    <row r="25" spans="1:9" ht="76.5" x14ac:dyDescent="0.2">
      <c r="B25" s="17" t="s">
        <v>75</v>
      </c>
      <c r="C25" s="18" t="s">
        <v>15</v>
      </c>
      <c r="D25" s="19" t="s">
        <v>345</v>
      </c>
      <c r="E25" s="49">
        <f>(E11+E13+E10+E12)*0.65</f>
        <v>341.18369999999993</v>
      </c>
      <c r="F25" s="102"/>
      <c r="G25" s="20" t="str">
        <f t="shared" ref="G25" si="3">IF(F25="","",E25*F25)</f>
        <v/>
      </c>
      <c r="I25" s="96">
        <v>18</v>
      </c>
    </row>
    <row r="26" spans="1:9" ht="38.25" x14ac:dyDescent="0.2">
      <c r="B26" s="17" t="s">
        <v>76</v>
      </c>
      <c r="C26" s="18" t="s">
        <v>15</v>
      </c>
      <c r="D26" s="19" t="s">
        <v>94</v>
      </c>
      <c r="E26" s="49">
        <f>5098*0.4*1.25</f>
        <v>2549</v>
      </c>
      <c r="F26" s="102"/>
      <c r="G26" s="20" t="str">
        <f t="shared" ref="G26" si="4">IF(F26="","",E26*F26)</f>
        <v/>
      </c>
      <c r="I26" s="80">
        <v>0</v>
      </c>
    </row>
    <row r="27" spans="1:9" ht="38.25" x14ac:dyDescent="0.2">
      <c r="B27" s="17" t="s">
        <v>77</v>
      </c>
      <c r="C27" s="18" t="s">
        <v>8</v>
      </c>
      <c r="D27" s="19" t="s">
        <v>95</v>
      </c>
      <c r="E27" s="49">
        <f>5098*1.15</f>
        <v>5862.7</v>
      </c>
      <c r="F27" s="102"/>
      <c r="G27" s="20" t="str">
        <f t="shared" ref="G27" si="5">IF(F27="","",E27*F27)</f>
        <v/>
      </c>
      <c r="I27" s="80">
        <v>0</v>
      </c>
    </row>
    <row r="28" spans="1:9" x14ac:dyDescent="0.2">
      <c r="E28" s="14" t="str">
        <f>IF(SUM(E31:E33)=0,0,"")</f>
        <v/>
      </c>
      <c r="F28" s="14"/>
      <c r="G28" s="14"/>
    </row>
    <row r="29" spans="1:9" ht="21.2" customHeight="1" x14ac:dyDescent="0.3">
      <c r="B29" s="111" t="s">
        <v>99</v>
      </c>
      <c r="C29" s="112"/>
      <c r="D29" s="112"/>
      <c r="E29" s="15" t="str">
        <f>IF(SUM(E31:E33)=0,0,"")</f>
        <v/>
      </c>
      <c r="F29" s="15"/>
      <c r="G29" s="16"/>
    </row>
    <row r="30" spans="1:9" x14ac:dyDescent="0.2">
      <c r="E30" s="14" t="str">
        <f>IF(SUM(E31:E33)=0,0,"")</f>
        <v/>
      </c>
      <c r="F30" s="14"/>
      <c r="G30" s="14"/>
    </row>
    <row r="31" spans="1:9" ht="38.25" x14ac:dyDescent="0.2">
      <c r="B31" s="17" t="s">
        <v>78</v>
      </c>
      <c r="C31" s="18" t="s">
        <v>8</v>
      </c>
      <c r="D31" s="19" t="s">
        <v>273</v>
      </c>
      <c r="E31" s="49">
        <v>550</v>
      </c>
      <c r="F31" s="102"/>
      <c r="G31" s="20" t="str">
        <f t="shared" ref="G31:G33" si="6">IF(F31="","",E31*F31)</f>
        <v/>
      </c>
      <c r="I31" s="87">
        <v>0</v>
      </c>
    </row>
    <row r="32" spans="1:9" ht="25.5" x14ac:dyDescent="0.2">
      <c r="B32" s="17" t="s">
        <v>79</v>
      </c>
      <c r="C32" s="18" t="s">
        <v>8</v>
      </c>
      <c r="D32" s="19" t="s">
        <v>229</v>
      </c>
      <c r="E32" s="49">
        <f>E31</f>
        <v>550</v>
      </c>
      <c r="F32" s="102"/>
      <c r="G32" s="20" t="str">
        <f t="shared" si="6"/>
        <v/>
      </c>
      <c r="I32" s="87">
        <v>0</v>
      </c>
    </row>
    <row r="33" spans="2:9" ht="76.5" x14ac:dyDescent="0.2">
      <c r="B33" s="17" t="s">
        <v>80</v>
      </c>
      <c r="C33" s="18" t="s">
        <v>4</v>
      </c>
      <c r="D33" s="19" t="s">
        <v>388</v>
      </c>
      <c r="E33" s="49">
        <v>7</v>
      </c>
      <c r="F33" s="102"/>
      <c r="G33" s="20" t="str">
        <f t="shared" si="6"/>
        <v/>
      </c>
      <c r="I33" s="6"/>
    </row>
    <row r="34" spans="2:9" x14ac:dyDescent="0.2">
      <c r="E34" s="14"/>
      <c r="F34" s="14"/>
      <c r="G34" s="14"/>
    </row>
    <row r="35" spans="2:9" ht="21.2" customHeight="1" x14ac:dyDescent="0.3">
      <c r="B35" s="111" t="s">
        <v>100</v>
      </c>
      <c r="C35" s="112"/>
      <c r="D35" s="112"/>
      <c r="E35" s="15"/>
      <c r="F35" s="15"/>
      <c r="G35" s="16"/>
    </row>
    <row r="36" spans="2:9" x14ac:dyDescent="0.2">
      <c r="E36" s="14"/>
      <c r="F36" s="14"/>
      <c r="G36" s="14"/>
    </row>
    <row r="37" spans="2:9" ht="25.5" x14ac:dyDescent="0.2">
      <c r="B37" s="17" t="s">
        <v>82</v>
      </c>
      <c r="C37" s="18" t="s">
        <v>81</v>
      </c>
      <c r="D37" s="19" t="s">
        <v>230</v>
      </c>
      <c r="E37" s="49">
        <f>E39+E40+E41+E38</f>
        <v>13183.661474999999</v>
      </c>
      <c r="F37" s="102"/>
      <c r="G37" s="20" t="str">
        <f t="shared" ref="G37:G41" si="7">IF(F37="","",E37*F37)</f>
        <v/>
      </c>
      <c r="I37" s="85">
        <v>0</v>
      </c>
    </row>
    <row r="38" spans="2:9" ht="51" x14ac:dyDescent="0.2">
      <c r="B38" s="17" t="s">
        <v>83</v>
      </c>
      <c r="C38" s="18" t="s">
        <v>81</v>
      </c>
      <c r="D38" s="47" t="s">
        <v>263</v>
      </c>
      <c r="E38" s="49">
        <f>(('1. PREDDELA'!E37)*0.07+('1. PREDDELA'!E38)*0.1+('1. PREDDELA'!E36)*0.03)*2.3</f>
        <v>10.583450000000001</v>
      </c>
      <c r="F38" s="102"/>
      <c r="G38" s="20" t="str">
        <f t="shared" si="7"/>
        <v/>
      </c>
      <c r="I38" s="86">
        <v>0</v>
      </c>
    </row>
    <row r="39" spans="2:9" ht="38.25" x14ac:dyDescent="0.2">
      <c r="B39" s="17" t="s">
        <v>84</v>
      </c>
      <c r="C39" s="18" t="s">
        <v>81</v>
      </c>
      <c r="D39" s="19" t="s">
        <v>220</v>
      </c>
      <c r="E39" s="49">
        <f>(E8)*1.8+(E9+E10+E11+E12+E13)*2.1</f>
        <v>11809.9458</v>
      </c>
      <c r="F39" s="102"/>
      <c r="G39" s="20" t="str">
        <f t="shared" si="7"/>
        <v/>
      </c>
      <c r="I39" s="86">
        <v>0</v>
      </c>
    </row>
    <row r="40" spans="2:9" ht="38.25" x14ac:dyDescent="0.2">
      <c r="B40" s="17" t="s">
        <v>85</v>
      </c>
      <c r="C40" s="18" t="s">
        <v>81</v>
      </c>
      <c r="D40" s="19" t="s">
        <v>221</v>
      </c>
      <c r="E40" s="49">
        <f>(('1. PREDDELA'!E33)*0.1+('1. PREDDELA'!E32)*0.05+('1. PREDDELA'!E34)*0.12)*2.3</f>
        <v>1186.5602249999999</v>
      </c>
      <c r="F40" s="102"/>
      <c r="G40" s="20" t="str">
        <f t="shared" si="7"/>
        <v/>
      </c>
      <c r="I40" s="86">
        <v>0</v>
      </c>
    </row>
    <row r="41" spans="2:9" ht="38.25" x14ac:dyDescent="0.2">
      <c r="B41" s="17" t="s">
        <v>86</v>
      </c>
      <c r="C41" s="18" t="s">
        <v>81</v>
      </c>
      <c r="D41" s="19" t="s">
        <v>290</v>
      </c>
      <c r="E41" s="49">
        <f>(('1. PREDDELA'!E42*80/1000)+('1. PREDDELA'!E48*120/1000)+(('1. PREDDELA'!E47)*170/1000)+((('1. PREDDELA'!E43*50/1000))*2.5))+'1. PREDDELA'!E49*2.5</f>
        <v>176.572</v>
      </c>
      <c r="F41" s="102"/>
      <c r="G41" s="20" t="str">
        <f t="shared" si="7"/>
        <v/>
      </c>
      <c r="I41" s="86">
        <v>0</v>
      </c>
    </row>
    <row r="42" spans="2:9" ht="13.5" thickBot="1" x14ac:dyDescent="0.25">
      <c r="B42" s="50"/>
      <c r="I42" s="6"/>
    </row>
    <row r="43" spans="2:9" ht="16.5" thickBot="1" x14ac:dyDescent="0.25">
      <c r="D43" s="25" t="s">
        <v>87</v>
      </c>
      <c r="E43" s="26"/>
      <c r="F43" s="108" t="str">
        <f>IF(SUM(G8:G41)=0,"",SUM(G8:G41))</f>
        <v/>
      </c>
      <c r="G43" s="109"/>
    </row>
  </sheetData>
  <sheetProtection algorithmName="SHA-512" hashValue="KWFDkBsZhMhhFJfGXbq3WrG583HBJnF9Nri71gA7mSkQ2cnnkfHiNLWXsfZH8TpyAq6KrAnKWuizP+0lvtaFhw==" saltValue="46XBOPjZq3vlRu7nO+q3ww==" spinCount="100000" sheet="1" selectLockedCells="1"/>
  <dataConsolidate/>
  <mergeCells count="8">
    <mergeCell ref="B4:G4"/>
    <mergeCell ref="B6:D6"/>
    <mergeCell ref="B15:D15"/>
    <mergeCell ref="B19:D19"/>
    <mergeCell ref="F43:G43"/>
    <mergeCell ref="B23:D23"/>
    <mergeCell ref="B29:D29"/>
    <mergeCell ref="B35:D35"/>
  </mergeCells>
  <pageMargins left="0.70866141732283472" right="0.70866141732283472" top="0.74803149606299213" bottom="0.74803149606299213" header="0.31496062992125984" footer="0.31496062992125984"/>
  <pageSetup paperSize="9" orientation="portrait" r:id="rId1"/>
  <headerFooter>
    <oddHeader>&amp;L&amp;"Arial Narrow,Navadno"    &amp;G&amp;C&amp;"Arial Narrow,Poševno"&amp;10&amp;A</oddHeader>
    <oddFooter>&amp;C&amp;"Arial Narrow,Poševno"&amp;10Stran &amp;P /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rgb="FF92D050"/>
  </sheetPr>
  <dimension ref="A1:K61"/>
  <sheetViews>
    <sheetView view="pageBreakPreview" zoomScaleNormal="115" zoomScaleSheetLayoutView="100" zoomScalePageLayoutView="120" workbookViewId="0">
      <pane ySplit="2" topLeftCell="A9" activePane="bottomLeft" state="frozen"/>
      <selection activeCell="N28" sqref="N28"/>
      <selection pane="bottomLeft" activeCell="F14" sqref="F14"/>
    </sheetView>
  </sheetViews>
  <sheetFormatPr defaultColWidth="9.140625" defaultRowHeight="12.75" x14ac:dyDescent="0.2"/>
  <cols>
    <col min="1" max="1" width="2.140625" style="7" customWidth="1"/>
    <col min="2" max="2" width="6.28515625" style="2" customWidth="1"/>
    <col min="3" max="3" width="5.28515625" style="3" customWidth="1"/>
    <col min="4" max="4" width="45.42578125" style="4" customWidth="1"/>
    <col min="5" max="5" width="9.140625" style="5"/>
    <col min="6" max="6" width="9.140625" style="5" customWidth="1"/>
    <col min="7" max="7" width="9.7109375" style="5" customWidth="1"/>
    <col min="8" max="8" width="4" style="6" customWidth="1"/>
    <col min="9" max="9" width="16.85546875" style="64" hidden="1" customWidth="1"/>
    <col min="10" max="10" width="9.140625" style="6" customWidth="1"/>
    <col min="11" max="11" width="0" style="6" hidden="1" customWidth="1"/>
    <col min="12" max="16384" width="9.140625" style="6"/>
  </cols>
  <sheetData>
    <row r="1" spans="1:9" x14ac:dyDescent="0.2">
      <c r="A1" s="1"/>
    </row>
    <row r="2" spans="1:9" ht="24.95" customHeight="1" x14ac:dyDescent="0.2">
      <c r="B2" s="42" t="s">
        <v>49</v>
      </c>
      <c r="C2" s="42" t="s">
        <v>54</v>
      </c>
      <c r="D2" s="42" t="s">
        <v>50</v>
      </c>
      <c r="E2" s="43" t="s">
        <v>51</v>
      </c>
      <c r="F2" s="43" t="s">
        <v>52</v>
      </c>
      <c r="G2" s="43" t="s">
        <v>53</v>
      </c>
      <c r="I2" s="65" t="s">
        <v>59</v>
      </c>
    </row>
    <row r="3" spans="1:9" x14ac:dyDescent="0.2">
      <c r="B3" s="44"/>
      <c r="C3" s="44"/>
      <c r="D3" s="45"/>
      <c r="E3" s="46"/>
      <c r="F3" s="46"/>
      <c r="G3" s="46"/>
    </row>
    <row r="4" spans="1:9" ht="15.75" x14ac:dyDescent="0.2">
      <c r="B4" s="110" t="s">
        <v>101</v>
      </c>
      <c r="C4" s="110"/>
      <c r="D4" s="110"/>
      <c r="E4" s="110"/>
      <c r="F4" s="110"/>
      <c r="G4" s="110"/>
    </row>
    <row r="5" spans="1:9" ht="12.75" customHeight="1" x14ac:dyDescent="0.2">
      <c r="B5" s="13"/>
      <c r="C5" s="13"/>
      <c r="D5" s="13"/>
      <c r="E5" s="51"/>
      <c r="F5" s="51"/>
      <c r="G5" s="51"/>
    </row>
    <row r="6" spans="1:9" ht="21.2" customHeight="1" x14ac:dyDescent="0.3">
      <c r="B6" s="111" t="s">
        <v>125</v>
      </c>
      <c r="C6" s="112"/>
      <c r="D6" s="112"/>
      <c r="E6" s="15"/>
      <c r="F6" s="15"/>
      <c r="G6" s="16"/>
    </row>
    <row r="7" spans="1:9" ht="21.2" customHeight="1" x14ac:dyDescent="0.25">
      <c r="B7" s="113" t="s">
        <v>102</v>
      </c>
      <c r="C7" s="113"/>
      <c r="D7" s="113"/>
      <c r="E7" s="22" t="str">
        <f>IF(SUM(E9:E10)=0,0,"")</f>
        <v/>
      </c>
      <c r="F7" s="22"/>
      <c r="G7" s="22"/>
    </row>
    <row r="8" spans="1:9" ht="13.5" x14ac:dyDescent="0.25">
      <c r="E8" s="52" t="str">
        <f>IF(SUM(E9:E10)=0,0,"")</f>
        <v/>
      </c>
      <c r="F8" s="52"/>
      <c r="G8" s="52"/>
    </row>
    <row r="9" spans="1:9" s="56" customFormat="1" ht="51" x14ac:dyDescent="0.2">
      <c r="A9" s="53"/>
      <c r="B9" s="54" t="s">
        <v>175</v>
      </c>
      <c r="C9" s="55" t="s">
        <v>15</v>
      </c>
      <c r="D9" s="47" t="s">
        <v>292</v>
      </c>
      <c r="E9" s="49">
        <f>5098*0.25*1.25</f>
        <v>1593.125</v>
      </c>
      <c r="F9" s="103"/>
      <c r="G9" s="49" t="str">
        <f t="shared" ref="G9:G10" si="0">IF(F9="","",E9*F9)</f>
        <v/>
      </c>
      <c r="I9" s="77">
        <v>22</v>
      </c>
    </row>
    <row r="10" spans="1:9" ht="38.25" x14ac:dyDescent="0.2">
      <c r="B10" s="17" t="s">
        <v>176</v>
      </c>
      <c r="C10" s="18" t="s">
        <v>15</v>
      </c>
      <c r="D10" s="19" t="s">
        <v>208</v>
      </c>
      <c r="E10" s="49">
        <f>(E14+E21+E15)*0.05</f>
        <v>286.73400000000004</v>
      </c>
      <c r="F10" s="102"/>
      <c r="G10" s="20" t="str">
        <f t="shared" si="0"/>
        <v/>
      </c>
      <c r="I10" s="81">
        <v>5</v>
      </c>
    </row>
    <row r="11" spans="1:9" x14ac:dyDescent="0.2">
      <c r="E11" s="14"/>
      <c r="F11" s="14"/>
      <c r="G11" s="14"/>
    </row>
    <row r="12" spans="1:9" ht="21.75" customHeight="1" x14ac:dyDescent="0.25">
      <c r="B12" s="114" t="s">
        <v>177</v>
      </c>
      <c r="C12" s="114"/>
      <c r="D12" s="114"/>
      <c r="E12" s="52" t="str">
        <f>IF(SUM(E14:E15)=0,0,"")</f>
        <v/>
      </c>
      <c r="F12" s="52"/>
      <c r="G12" s="52"/>
    </row>
    <row r="13" spans="1:9" x14ac:dyDescent="0.2">
      <c r="E13" s="14" t="str">
        <f>IF(SUM(E14:E15)=0,0,"")</f>
        <v/>
      </c>
      <c r="F13" s="14"/>
      <c r="G13" s="14"/>
    </row>
    <row r="14" spans="1:9" ht="89.25" x14ac:dyDescent="0.2">
      <c r="B14" s="17" t="s">
        <v>178</v>
      </c>
      <c r="C14" s="18" t="s">
        <v>8</v>
      </c>
      <c r="D14" s="19" t="s">
        <v>348</v>
      </c>
      <c r="E14" s="49">
        <f>(240.7+65.6+6.8+4.3+6.8+115+61.2)*1.2</f>
        <v>600.4799999999999</v>
      </c>
      <c r="F14" s="102"/>
      <c r="G14" s="20" t="str">
        <f t="shared" ref="G14:G15" si="1">IF(F14="","",E14*F14)</f>
        <v/>
      </c>
      <c r="I14" s="83">
        <v>0</v>
      </c>
    </row>
    <row r="15" spans="1:9" ht="76.5" x14ac:dyDescent="0.2">
      <c r="B15" s="17" t="s">
        <v>179</v>
      </c>
      <c r="C15" s="18" t="s">
        <v>8</v>
      </c>
      <c r="D15" s="19" t="s">
        <v>349</v>
      </c>
      <c r="E15" s="49">
        <f>(3251.5-61.2)*1.2</f>
        <v>3828.36</v>
      </c>
      <c r="F15" s="102"/>
      <c r="G15" s="20" t="str">
        <f t="shared" si="1"/>
        <v/>
      </c>
      <c r="I15" s="83">
        <v>0</v>
      </c>
    </row>
    <row r="16" spans="1:9" x14ac:dyDescent="0.2">
      <c r="E16" s="14"/>
      <c r="F16" s="14"/>
      <c r="G16" s="14"/>
    </row>
    <row r="17" spans="2:9" ht="21.2" customHeight="1" x14ac:dyDescent="0.3">
      <c r="B17" s="111" t="s">
        <v>180</v>
      </c>
      <c r="C17" s="112"/>
      <c r="D17" s="112"/>
      <c r="E17" s="15"/>
      <c r="F17" s="15"/>
      <c r="G17" s="16"/>
    </row>
    <row r="18" spans="2:9" x14ac:dyDescent="0.2">
      <c r="E18" s="14" t="str">
        <f>IF(SUM(E21:E22)=0,0,"")</f>
        <v/>
      </c>
      <c r="F18" s="14"/>
      <c r="G18" s="14"/>
    </row>
    <row r="19" spans="2:9" ht="27" customHeight="1" x14ac:dyDescent="0.25">
      <c r="B19" s="114" t="s">
        <v>181</v>
      </c>
      <c r="C19" s="114"/>
      <c r="D19" s="114"/>
      <c r="E19" s="52" t="str">
        <f>IF(SUM(E21:E22)=0,0,"")</f>
        <v/>
      </c>
      <c r="F19" s="52"/>
      <c r="G19" s="52"/>
    </row>
    <row r="20" spans="2:9" x14ac:dyDescent="0.2">
      <c r="E20" s="14" t="str">
        <f>IF(SUM(E21:E22)=0,0,"")</f>
        <v/>
      </c>
      <c r="F20" s="14"/>
      <c r="G20" s="14"/>
    </row>
    <row r="21" spans="2:9" ht="76.5" x14ac:dyDescent="0.2">
      <c r="B21" s="17" t="s">
        <v>182</v>
      </c>
      <c r="C21" s="18" t="s">
        <v>8</v>
      </c>
      <c r="D21" s="19" t="s">
        <v>308</v>
      </c>
      <c r="E21" s="49">
        <f>(1088.2)*1.2</f>
        <v>1305.8399999999999</v>
      </c>
      <c r="F21" s="102"/>
      <c r="G21" s="20" t="str">
        <f t="shared" ref="G21:G23" si="2">IF(F21="","",E21*F21)</f>
        <v/>
      </c>
      <c r="I21" s="79">
        <v>10</v>
      </c>
    </row>
    <row r="22" spans="2:9" ht="89.25" x14ac:dyDescent="0.2">
      <c r="B22" s="17" t="s">
        <v>183</v>
      </c>
      <c r="C22" s="18" t="s">
        <v>8</v>
      </c>
      <c r="D22" s="19" t="s">
        <v>309</v>
      </c>
      <c r="E22" s="49">
        <f>E14+E15</f>
        <v>4428.84</v>
      </c>
      <c r="F22" s="102"/>
      <c r="G22" s="20" t="str">
        <f t="shared" si="2"/>
        <v/>
      </c>
      <c r="I22" s="82">
        <v>0</v>
      </c>
    </row>
    <row r="23" spans="2:9" ht="51" x14ac:dyDescent="0.2">
      <c r="B23" s="17" t="s">
        <v>350</v>
      </c>
      <c r="C23" s="18" t="s">
        <v>14</v>
      </c>
      <c r="D23" s="19" t="s">
        <v>351</v>
      </c>
      <c r="E23" s="49">
        <v>92.5</v>
      </c>
      <c r="F23" s="102"/>
      <c r="G23" s="20" t="str">
        <f t="shared" si="2"/>
        <v/>
      </c>
      <c r="I23" s="6"/>
    </row>
    <row r="24" spans="2:9" x14ac:dyDescent="0.2">
      <c r="E24" s="14" t="str">
        <f>IF(SUM(E27:E29)=0,0,"")</f>
        <v/>
      </c>
      <c r="F24" s="14"/>
      <c r="G24" s="14"/>
    </row>
    <row r="25" spans="2:9" ht="27" customHeight="1" x14ac:dyDescent="0.25">
      <c r="B25" s="114" t="s">
        <v>184</v>
      </c>
      <c r="C25" s="114"/>
      <c r="D25" s="114"/>
      <c r="E25" s="52" t="str">
        <f>IF(SUM(E27:E29)=0,0,"")</f>
        <v/>
      </c>
      <c r="F25" s="52"/>
      <c r="G25" s="52"/>
    </row>
    <row r="26" spans="2:9" x14ac:dyDescent="0.2">
      <c r="E26" s="14" t="str">
        <f>IF(SUM(E27:E29)=0,0,"")</f>
        <v/>
      </c>
      <c r="F26" s="14"/>
      <c r="G26" s="14"/>
    </row>
    <row r="27" spans="2:9" ht="38.25" x14ac:dyDescent="0.2">
      <c r="B27" s="17" t="s">
        <v>185</v>
      </c>
      <c r="C27" s="18" t="s">
        <v>8</v>
      </c>
      <c r="D27" s="19" t="s">
        <v>226</v>
      </c>
      <c r="E27" s="49">
        <f>E14+E15</f>
        <v>4428.84</v>
      </c>
      <c r="F27" s="102"/>
      <c r="G27" s="20" t="str">
        <f t="shared" ref="G27:G29" si="3">IF(F27="","",E27*F27)</f>
        <v/>
      </c>
      <c r="I27" s="86">
        <v>0</v>
      </c>
    </row>
    <row r="28" spans="2:9" ht="25.5" x14ac:dyDescent="0.2">
      <c r="B28" s="17" t="s">
        <v>186</v>
      </c>
      <c r="C28" s="18" t="s">
        <v>8</v>
      </c>
      <c r="D28" s="19" t="s">
        <v>209</v>
      </c>
      <c r="E28" s="49">
        <f>E27</f>
        <v>4428.84</v>
      </c>
      <c r="F28" s="102"/>
      <c r="G28" s="20" t="str">
        <f t="shared" si="3"/>
        <v/>
      </c>
      <c r="I28" s="86">
        <v>0</v>
      </c>
    </row>
    <row r="29" spans="2:9" ht="25.5" x14ac:dyDescent="0.2">
      <c r="B29" s="17" t="s">
        <v>187</v>
      </c>
      <c r="C29" s="18" t="s">
        <v>14</v>
      </c>
      <c r="D29" s="19" t="s">
        <v>231</v>
      </c>
      <c r="E29" s="49">
        <f>'1. PREDDELA'!E39+'1. PREDDELA'!E40+'1. PREDDELA'!E41</f>
        <v>115.30000000000001</v>
      </c>
      <c r="F29" s="102"/>
      <c r="G29" s="20" t="str">
        <f t="shared" si="3"/>
        <v/>
      </c>
      <c r="I29" s="86">
        <v>0</v>
      </c>
    </row>
    <row r="30" spans="2:9" x14ac:dyDescent="0.2">
      <c r="E30" s="14" t="str">
        <f>IF(SUM(E33:E33)=0,0,"")</f>
        <v/>
      </c>
      <c r="F30" s="14"/>
      <c r="G30" s="14"/>
    </row>
    <row r="31" spans="2:9" ht="21.2" customHeight="1" x14ac:dyDescent="0.25">
      <c r="B31" s="114" t="s">
        <v>188</v>
      </c>
      <c r="C31" s="114"/>
      <c r="D31" s="114"/>
      <c r="E31" s="52" t="str">
        <f>IF(SUM(E33:E33)=0,0,"")</f>
        <v/>
      </c>
      <c r="F31" s="52"/>
      <c r="G31" s="52"/>
    </row>
    <row r="32" spans="2:9" x14ac:dyDescent="0.2">
      <c r="E32" s="14" t="str">
        <f>IF(SUM(E33:E33)=0,0,"")</f>
        <v/>
      </c>
      <c r="F32" s="14"/>
      <c r="G32" s="14"/>
    </row>
    <row r="33" spans="2:11" ht="38.25" x14ac:dyDescent="0.2">
      <c r="B33" s="17" t="s">
        <v>189</v>
      </c>
      <c r="C33" s="18" t="s">
        <v>8</v>
      </c>
      <c r="D33" s="19" t="s">
        <v>402</v>
      </c>
      <c r="E33" s="49">
        <v>120</v>
      </c>
      <c r="F33" s="103"/>
      <c r="G33" s="20" t="str">
        <f t="shared" ref="G33" si="4">IF(F33="","",E33*F33)</f>
        <v/>
      </c>
      <c r="I33" s="84">
        <v>0</v>
      </c>
    </row>
    <row r="34" spans="2:11" x14ac:dyDescent="0.2">
      <c r="E34" s="48" t="str">
        <f>IF(SUM(E37:E37)=0,0,"")</f>
        <v/>
      </c>
      <c r="F34" s="48"/>
      <c r="G34" s="14"/>
    </row>
    <row r="35" spans="2:11" ht="27" customHeight="1" x14ac:dyDescent="0.25">
      <c r="B35" s="114" t="s">
        <v>190</v>
      </c>
      <c r="C35" s="114"/>
      <c r="D35" s="114"/>
      <c r="E35" s="67" t="str">
        <f>IF(SUM(E37:E37)=0,0,"")</f>
        <v/>
      </c>
      <c r="F35" s="67"/>
      <c r="G35" s="52"/>
    </row>
    <row r="36" spans="2:11" x14ac:dyDescent="0.2">
      <c r="E36" s="48" t="str">
        <f>IF(SUM(E37:E37)=0,0,"")</f>
        <v/>
      </c>
      <c r="F36" s="48"/>
      <c r="G36" s="14"/>
    </row>
    <row r="37" spans="2:11" ht="38.25" x14ac:dyDescent="0.2">
      <c r="B37" s="17" t="s">
        <v>217</v>
      </c>
      <c r="C37" s="18" t="s">
        <v>8</v>
      </c>
      <c r="D37" s="19" t="s">
        <v>353</v>
      </c>
      <c r="E37" s="49">
        <v>120</v>
      </c>
      <c r="F37" s="103"/>
      <c r="G37" s="20" t="str">
        <f t="shared" ref="G37" si="5">IF(F37="","",E37*F37)</f>
        <v/>
      </c>
      <c r="I37" s="89">
        <v>0</v>
      </c>
    </row>
    <row r="38" spans="2:11" x14ac:dyDescent="0.2">
      <c r="E38" s="14" t="str">
        <f>IF(SUM(E41:E43)=0,0,"")</f>
        <v/>
      </c>
      <c r="F38" s="14"/>
      <c r="G38" s="14"/>
    </row>
    <row r="39" spans="2:11" ht="21.2" customHeight="1" x14ac:dyDescent="0.3">
      <c r="B39" s="111" t="s">
        <v>191</v>
      </c>
      <c r="C39" s="112"/>
      <c r="D39" s="112"/>
      <c r="E39" s="15" t="str">
        <f>IF(SUM(E41:E43)=0,0,"")</f>
        <v/>
      </c>
      <c r="F39" s="15"/>
      <c r="G39" s="16"/>
    </row>
    <row r="40" spans="2:11" x14ac:dyDescent="0.2">
      <c r="E40" s="14" t="str">
        <f>IF(SUM(E41:E43)=0,0,"")</f>
        <v/>
      </c>
      <c r="F40" s="14"/>
      <c r="G40" s="14"/>
    </row>
    <row r="41" spans="2:11" ht="38.25" x14ac:dyDescent="0.2">
      <c r="B41" s="17" t="s">
        <v>258</v>
      </c>
      <c r="C41" s="18" t="s">
        <v>4</v>
      </c>
      <c r="D41" s="19" t="s">
        <v>310</v>
      </c>
      <c r="E41" s="49">
        <v>941</v>
      </c>
      <c r="F41" s="102"/>
      <c r="G41" s="20" t="str">
        <f t="shared" ref="G41" si="6">IF(F41="","",E41*F41)</f>
        <v/>
      </c>
      <c r="I41" s="80">
        <v>0</v>
      </c>
      <c r="K41" s="6">
        <f>84.66/(0.3*0.3)</f>
        <v>940.66666666666663</v>
      </c>
    </row>
    <row r="42" spans="2:11" ht="38.25" x14ac:dyDescent="0.2">
      <c r="B42" s="17" t="s">
        <v>259</v>
      </c>
      <c r="C42" s="18" t="s">
        <v>4</v>
      </c>
      <c r="D42" s="19" t="s">
        <v>352</v>
      </c>
      <c r="E42" s="49">
        <v>59</v>
      </c>
      <c r="F42" s="102"/>
      <c r="G42" s="20" t="str">
        <f t="shared" ref="G42" si="7">IF(F42="","",E42*F42)</f>
        <v/>
      </c>
      <c r="I42" s="80">
        <v>0</v>
      </c>
      <c r="K42" s="6">
        <f>(2.8+2.5)/(0.3*0.3)</f>
        <v>58.888888888888886</v>
      </c>
    </row>
    <row r="43" spans="2:11" ht="25.5" x14ac:dyDescent="0.2">
      <c r="B43" s="17" t="s">
        <v>257</v>
      </c>
      <c r="C43" s="18" t="s">
        <v>8</v>
      </c>
      <c r="D43" s="19" t="s">
        <v>225</v>
      </c>
      <c r="E43" s="49">
        <v>50</v>
      </c>
      <c r="F43" s="102"/>
      <c r="G43" s="20" t="str">
        <f t="shared" ref="G43" si="8">IF(F43="","",E43*F43)</f>
        <v/>
      </c>
      <c r="I43" s="80">
        <v>0</v>
      </c>
    </row>
    <row r="44" spans="2:11" ht="13.5" x14ac:dyDescent="0.25">
      <c r="B44" s="50"/>
      <c r="E44" s="52"/>
      <c r="G44" s="52"/>
      <c r="I44" s="6"/>
    </row>
    <row r="45" spans="2:11" ht="21.2" customHeight="1" x14ac:dyDescent="0.3">
      <c r="B45" s="111" t="s">
        <v>192</v>
      </c>
      <c r="C45" s="112"/>
      <c r="D45" s="112"/>
      <c r="E45" s="15"/>
      <c r="F45" s="15"/>
      <c r="G45" s="16"/>
    </row>
    <row r="46" spans="2:11" x14ac:dyDescent="0.2">
      <c r="E46" s="14"/>
      <c r="F46" s="14"/>
      <c r="G46" s="14"/>
    </row>
    <row r="47" spans="2:11" ht="21.2" customHeight="1" x14ac:dyDescent="0.25">
      <c r="B47" s="114" t="s">
        <v>193</v>
      </c>
      <c r="C47" s="114"/>
      <c r="D47" s="114"/>
      <c r="E47" s="52"/>
      <c r="F47" s="52"/>
      <c r="G47" s="52"/>
    </row>
    <row r="48" spans="2:11" x14ac:dyDescent="0.2">
      <c r="E48" s="14"/>
      <c r="F48" s="14"/>
      <c r="G48" s="14"/>
    </row>
    <row r="49" spans="2:9" ht="38.25" x14ac:dyDescent="0.2">
      <c r="B49" s="17" t="s">
        <v>195</v>
      </c>
      <c r="C49" s="18" t="s">
        <v>14</v>
      </c>
      <c r="D49" s="19" t="s">
        <v>293</v>
      </c>
      <c r="E49" s="49">
        <f>382+31+357</f>
        <v>770</v>
      </c>
      <c r="F49" s="102"/>
      <c r="G49" s="20" t="str">
        <f>IF(F49="","",E49*F49)</f>
        <v/>
      </c>
      <c r="I49" s="85">
        <v>16</v>
      </c>
    </row>
    <row r="50" spans="2:9" ht="38.25" x14ac:dyDescent="0.2">
      <c r="B50" s="17" t="s">
        <v>196</v>
      </c>
      <c r="C50" s="18" t="s">
        <v>14</v>
      </c>
      <c r="D50" s="19" t="s">
        <v>210</v>
      </c>
      <c r="E50" s="49">
        <f>(410.5+34.5+349.5)-E51</f>
        <v>718.5</v>
      </c>
      <c r="F50" s="102"/>
      <c r="G50" s="20" t="str">
        <f t="shared" ref="G50:G51" si="9">IF(F50="","",E50*F50)</f>
        <v/>
      </c>
      <c r="I50" s="78">
        <v>20</v>
      </c>
    </row>
    <row r="51" spans="2:9" ht="38.25" x14ac:dyDescent="0.2">
      <c r="B51" s="17" t="s">
        <v>197</v>
      </c>
      <c r="C51" s="18" t="s">
        <v>14</v>
      </c>
      <c r="D51" s="19" t="s">
        <v>211</v>
      </c>
      <c r="E51" s="49">
        <v>76</v>
      </c>
      <c r="F51" s="102"/>
      <c r="G51" s="20" t="str">
        <f t="shared" si="9"/>
        <v/>
      </c>
      <c r="I51" s="86">
        <v>0</v>
      </c>
    </row>
    <row r="52" spans="2:9" x14ac:dyDescent="0.2">
      <c r="E52" s="14" t="str">
        <f>IF(SUM(E55:E55)=0,0,"")</f>
        <v/>
      </c>
      <c r="F52" s="14"/>
      <c r="G52" s="14"/>
    </row>
    <row r="53" spans="2:9" ht="21.2" customHeight="1" x14ac:dyDescent="0.25">
      <c r="B53" s="114" t="s">
        <v>194</v>
      </c>
      <c r="C53" s="114"/>
      <c r="D53" s="114"/>
      <c r="E53" s="52" t="str">
        <f>IF(SUM(E55:E55)=0,0,"")</f>
        <v/>
      </c>
      <c r="F53" s="52"/>
      <c r="G53" s="52"/>
    </row>
    <row r="54" spans="2:9" x14ac:dyDescent="0.2">
      <c r="E54" s="14" t="str">
        <f>IF(SUM(E55:E55)=0,0,"")</f>
        <v/>
      </c>
      <c r="F54" s="14"/>
      <c r="G54" s="14"/>
    </row>
    <row r="55" spans="2:9" ht="38.25" x14ac:dyDescent="0.2">
      <c r="B55" s="17" t="s">
        <v>198</v>
      </c>
      <c r="C55" s="18" t="s">
        <v>14</v>
      </c>
      <c r="D55" s="19" t="s">
        <v>354</v>
      </c>
      <c r="E55" s="49">
        <v>50</v>
      </c>
      <c r="F55" s="102"/>
      <c r="G55" s="20" t="str">
        <f t="shared" ref="G55" si="10">IF(F55="","",E55*F55)</f>
        <v/>
      </c>
      <c r="I55" s="76">
        <v>15</v>
      </c>
    </row>
    <row r="56" spans="2:9" x14ac:dyDescent="0.2">
      <c r="E56" s="14" t="str">
        <f>IF(SUM(E59:E59)=0,0,"")</f>
        <v/>
      </c>
      <c r="F56" s="14"/>
      <c r="G56" s="14"/>
    </row>
    <row r="57" spans="2:9" ht="21.2" customHeight="1" x14ac:dyDescent="0.3">
      <c r="B57" s="111" t="s">
        <v>199</v>
      </c>
      <c r="C57" s="112"/>
      <c r="D57" s="112"/>
      <c r="E57" s="15" t="str">
        <f>IF(SUM(E59:E59)=0,0,"")</f>
        <v/>
      </c>
      <c r="F57" s="15"/>
      <c r="G57" s="16"/>
    </row>
    <row r="58" spans="2:9" x14ac:dyDescent="0.2">
      <c r="E58" s="14" t="str">
        <f>IF(SUM(E59:E59)=0,0,"")</f>
        <v/>
      </c>
      <c r="F58" s="14"/>
      <c r="G58" s="14"/>
    </row>
    <row r="59" spans="2:9" ht="38.25" x14ac:dyDescent="0.2">
      <c r="B59" s="17" t="s">
        <v>200</v>
      </c>
      <c r="C59" s="18" t="s">
        <v>15</v>
      </c>
      <c r="D59" s="19" t="s">
        <v>212</v>
      </c>
      <c r="E59" s="49">
        <f>(310+148.5)*0.5*0.1</f>
        <v>22.925000000000001</v>
      </c>
      <c r="F59" s="102"/>
      <c r="G59" s="20" t="str">
        <f>IF(F59="","",E59*F59)</f>
        <v/>
      </c>
      <c r="I59" s="89">
        <v>0</v>
      </c>
    </row>
    <row r="60" spans="2:9" ht="13.5" thickBot="1" x14ac:dyDescent="0.25"/>
    <row r="61" spans="2:9" ht="16.5" thickBot="1" x14ac:dyDescent="0.25">
      <c r="D61" s="25" t="s">
        <v>124</v>
      </c>
      <c r="E61" s="26"/>
      <c r="F61" s="108" t="str">
        <f>IF(SUM(G9:G59)=0,"",SUM(G9:G59))</f>
        <v/>
      </c>
      <c r="G61" s="109"/>
    </row>
  </sheetData>
  <sheetProtection algorithmName="SHA-512" hashValue="7g1xJ1Zx3BEWRLrvyl8j/dJKheKRdRzw8C3/i8perb6WV2LA60HjrISQEmdasF0e+hK+uFzNB8DQLyqggLhp/A==" saltValue="ja5ofKA+/pnoC2FaDW2fyg==" spinCount="100000" sheet="1" selectLockedCells="1"/>
  <dataConsolidate/>
  <mergeCells count="15">
    <mergeCell ref="B31:D31"/>
    <mergeCell ref="B35:D35"/>
    <mergeCell ref="B47:D47"/>
    <mergeCell ref="F61:G61"/>
    <mergeCell ref="B25:D25"/>
    <mergeCell ref="B39:D39"/>
    <mergeCell ref="B45:D45"/>
    <mergeCell ref="B53:D53"/>
    <mergeCell ref="B57:D57"/>
    <mergeCell ref="B19:D19"/>
    <mergeCell ref="B4:G4"/>
    <mergeCell ref="B6:D6"/>
    <mergeCell ref="B7:D7"/>
    <mergeCell ref="B17:D17"/>
    <mergeCell ref="B12:D12"/>
  </mergeCells>
  <pageMargins left="0.70866141732283472" right="0.70866141732283472" top="0.74803149606299213" bottom="0.74803149606299213" header="0.31496062992125984" footer="0.31496062992125984"/>
  <pageSetup paperSize="9" orientation="portrait" r:id="rId1"/>
  <headerFooter>
    <oddHeader>&amp;L&amp;"Arial Narrow,Navadno"    &amp;G&amp;C&amp;"Arial Narrow,Poševno"&amp;10&amp;A</oddHeader>
    <oddFooter>&amp;C&amp;"Arial Narrow,Poševno"&amp;10Stran &amp;P / &amp;N</oddFooter>
  </headerFooter>
  <rowBreaks count="1" manualBreakCount="1">
    <brk id="52" max="6"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tabColor rgb="FF00B050"/>
  </sheetPr>
  <dimension ref="A1:K43"/>
  <sheetViews>
    <sheetView view="pageBreakPreview" zoomScaleNormal="145" zoomScaleSheetLayoutView="100" zoomScalePageLayoutView="120" workbookViewId="0">
      <pane ySplit="2" topLeftCell="A3" activePane="bottomLeft" state="frozen"/>
      <selection activeCell="N28" sqref="N28"/>
      <selection pane="bottomLeft" activeCell="F8" sqref="F8"/>
    </sheetView>
  </sheetViews>
  <sheetFormatPr defaultColWidth="9.140625" defaultRowHeight="12.75" x14ac:dyDescent="0.2"/>
  <cols>
    <col min="1" max="1" width="2.140625" style="7" customWidth="1"/>
    <col min="2" max="2" width="6.28515625" style="2" customWidth="1"/>
    <col min="3" max="3" width="5.28515625" style="3" customWidth="1"/>
    <col min="4" max="4" width="44.7109375" style="4" customWidth="1"/>
    <col min="5" max="5" width="9.140625" style="5"/>
    <col min="6" max="6" width="9.140625" style="5" customWidth="1"/>
    <col min="7" max="7" width="9.7109375" style="5" customWidth="1"/>
    <col min="8" max="8" width="3.5703125" style="6" customWidth="1"/>
    <col min="9" max="9" width="8.42578125" style="68" hidden="1" customWidth="1"/>
    <col min="10" max="10" width="9.140625" style="6" customWidth="1"/>
    <col min="11" max="11" width="0" style="6" hidden="1" customWidth="1"/>
    <col min="12" max="16384" width="9.140625" style="6"/>
  </cols>
  <sheetData>
    <row r="1" spans="1:9" x14ac:dyDescent="0.2">
      <c r="A1" s="1"/>
    </row>
    <row r="2" spans="1:9" ht="24.95" customHeight="1" x14ac:dyDescent="0.2">
      <c r="B2" s="42" t="s">
        <v>49</v>
      </c>
      <c r="C2" s="42" t="s">
        <v>54</v>
      </c>
      <c r="D2" s="42" t="s">
        <v>50</v>
      </c>
      <c r="E2" s="43" t="s">
        <v>51</v>
      </c>
      <c r="F2" s="43" t="s">
        <v>52</v>
      </c>
      <c r="G2" s="43" t="s">
        <v>53</v>
      </c>
      <c r="I2" s="69" t="s">
        <v>59</v>
      </c>
    </row>
    <row r="3" spans="1:9" x14ac:dyDescent="0.2">
      <c r="B3" s="44"/>
      <c r="C3" s="44"/>
      <c r="D3" s="45"/>
      <c r="E3" s="46"/>
      <c r="F3" s="46"/>
      <c r="G3" s="46"/>
    </row>
    <row r="4" spans="1:9" ht="15.75" x14ac:dyDescent="0.2">
      <c r="B4" s="110" t="s">
        <v>103</v>
      </c>
      <c r="C4" s="110"/>
      <c r="D4" s="110"/>
      <c r="E4" s="110"/>
      <c r="F4" s="110"/>
      <c r="G4" s="110"/>
    </row>
    <row r="5" spans="1:9" ht="12.75" customHeight="1" x14ac:dyDescent="0.2">
      <c r="B5" s="13"/>
      <c r="C5" s="13"/>
      <c r="D5" s="13"/>
      <c r="E5" s="51" t="str">
        <f>IF(SUM(E8:E19)=0,0,"")</f>
        <v/>
      </c>
      <c r="F5" s="51"/>
      <c r="G5" s="51"/>
    </row>
    <row r="6" spans="1:9" ht="21.2" customHeight="1" x14ac:dyDescent="0.3">
      <c r="B6" s="111" t="s">
        <v>104</v>
      </c>
      <c r="C6" s="112"/>
      <c r="D6" s="112"/>
      <c r="E6" s="15" t="str">
        <f>IF(SUM(E8:E19)=0,0,"")</f>
        <v/>
      </c>
      <c r="F6" s="15"/>
      <c r="G6" s="16"/>
    </row>
    <row r="7" spans="1:9" x14ac:dyDescent="0.2">
      <c r="E7" s="57" t="str">
        <f>IF(SUM(E8:E19)=0,0,"")</f>
        <v/>
      </c>
      <c r="F7" s="57"/>
      <c r="G7" s="57"/>
    </row>
    <row r="8" spans="1:9" ht="89.25" x14ac:dyDescent="0.2">
      <c r="B8" s="17" t="s">
        <v>394</v>
      </c>
      <c r="C8" s="18" t="s">
        <v>14</v>
      </c>
      <c r="D8" s="47" t="s">
        <v>396</v>
      </c>
      <c r="E8" s="49">
        <f>16+19+(11*8)+(2*9)+(2*5)+(12*4)</f>
        <v>199</v>
      </c>
      <c r="F8" s="102"/>
      <c r="G8" s="20" t="str">
        <f t="shared" ref="G8:G12" si="0">IF(F8="","",E8*F8)</f>
        <v/>
      </c>
      <c r="I8" s="70"/>
    </row>
    <row r="9" spans="1:9" ht="89.25" x14ac:dyDescent="0.2">
      <c r="B9" s="17" t="s">
        <v>359</v>
      </c>
      <c r="C9" s="18" t="s">
        <v>4</v>
      </c>
      <c r="D9" s="47" t="s">
        <v>397</v>
      </c>
      <c r="E9" s="49">
        <v>199</v>
      </c>
      <c r="F9" s="102"/>
      <c r="G9" s="20" t="str">
        <f t="shared" si="0"/>
        <v/>
      </c>
      <c r="I9" s="70"/>
    </row>
    <row r="10" spans="1:9" ht="51" x14ac:dyDescent="0.2">
      <c r="B10" s="17" t="s">
        <v>358</v>
      </c>
      <c r="C10" s="18" t="s">
        <v>4</v>
      </c>
      <c r="D10" s="47" t="s">
        <v>398</v>
      </c>
      <c r="E10" s="49">
        <f>1+1+16</f>
        <v>18</v>
      </c>
      <c r="F10" s="102"/>
      <c r="G10" s="20" t="str">
        <f t="shared" si="0"/>
        <v/>
      </c>
      <c r="I10" s="70"/>
    </row>
    <row r="11" spans="1:9" ht="51" x14ac:dyDescent="0.2">
      <c r="B11" s="17" t="s">
        <v>357</v>
      </c>
      <c r="C11" s="18" t="s">
        <v>4</v>
      </c>
      <c r="D11" s="47" t="s">
        <v>399</v>
      </c>
      <c r="E11" s="49">
        <v>16</v>
      </c>
      <c r="F11" s="102"/>
      <c r="G11" s="20" t="str">
        <f t="shared" ref="G11" si="1">IF(F11="","",E11*F11)</f>
        <v/>
      </c>
      <c r="I11" s="70"/>
    </row>
    <row r="12" spans="1:9" ht="63.75" x14ac:dyDescent="0.2">
      <c r="B12" s="17" t="s">
        <v>356</v>
      </c>
      <c r="C12" s="18" t="s">
        <v>4</v>
      </c>
      <c r="D12" s="47" t="s">
        <v>400</v>
      </c>
      <c r="E12" s="49">
        <f>1+1</f>
        <v>2</v>
      </c>
      <c r="F12" s="102"/>
      <c r="G12" s="20" t="str">
        <f t="shared" si="0"/>
        <v/>
      </c>
      <c r="I12" s="70"/>
    </row>
    <row r="13" spans="1:9" ht="89.25" x14ac:dyDescent="0.2">
      <c r="B13" s="17" t="s">
        <v>251</v>
      </c>
      <c r="C13" s="18" t="s">
        <v>4</v>
      </c>
      <c r="D13" s="47" t="s">
        <v>401</v>
      </c>
      <c r="E13" s="49">
        <v>2</v>
      </c>
      <c r="F13" s="102"/>
      <c r="G13" s="20" t="str">
        <f t="shared" ref="G13" si="2">IF(F13="","",E13*F13)</f>
        <v/>
      </c>
      <c r="I13" s="70"/>
    </row>
    <row r="14" spans="1:9" ht="114.75" x14ac:dyDescent="0.2">
      <c r="B14" s="17" t="s">
        <v>252</v>
      </c>
      <c r="C14" s="18" t="s">
        <v>14</v>
      </c>
      <c r="D14" s="19" t="s">
        <v>306</v>
      </c>
      <c r="E14" s="49">
        <v>9</v>
      </c>
      <c r="F14" s="102"/>
      <c r="G14" s="20" t="str">
        <f t="shared" ref="G14" si="3">IF(F14="","",E14*F14)</f>
        <v/>
      </c>
      <c r="I14" s="70">
        <v>0</v>
      </c>
    </row>
    <row r="15" spans="1:9" ht="51" x14ac:dyDescent="0.2">
      <c r="B15" s="17" t="s">
        <v>253</v>
      </c>
      <c r="C15" s="18" t="s">
        <v>4</v>
      </c>
      <c r="D15" s="19" t="s">
        <v>307</v>
      </c>
      <c r="E15" s="49">
        <f>E14*2</f>
        <v>18</v>
      </c>
      <c r="F15" s="102"/>
      <c r="G15" s="20" t="str">
        <f t="shared" ref="G15" si="4">IF(F15="","",E15*F15)</f>
        <v/>
      </c>
      <c r="I15" s="70">
        <v>0</v>
      </c>
    </row>
    <row r="16" spans="1:9" ht="51" x14ac:dyDescent="0.2">
      <c r="B16" s="17" t="s">
        <v>254</v>
      </c>
      <c r="C16" s="18" t="s">
        <v>4</v>
      </c>
      <c r="D16" s="19" t="s">
        <v>311</v>
      </c>
      <c r="E16" s="49">
        <v>2</v>
      </c>
      <c r="F16" s="102"/>
      <c r="G16" s="20" t="str">
        <f t="shared" ref="G16:G17" si="5">IF(F16="","",E16*F16)</f>
        <v/>
      </c>
      <c r="I16" s="70">
        <v>0</v>
      </c>
    </row>
    <row r="17" spans="1:11" ht="51" x14ac:dyDescent="0.2">
      <c r="B17" s="17" t="s">
        <v>255</v>
      </c>
      <c r="C17" s="18" t="s">
        <v>4</v>
      </c>
      <c r="D17" s="19" t="s">
        <v>312</v>
      </c>
      <c r="E17" s="49">
        <v>2</v>
      </c>
      <c r="F17" s="102"/>
      <c r="G17" s="20" t="str">
        <f t="shared" si="5"/>
        <v/>
      </c>
      <c r="I17" s="70">
        <v>0</v>
      </c>
    </row>
    <row r="18" spans="1:11" ht="63.75" x14ac:dyDescent="0.2">
      <c r="B18" s="17" t="s">
        <v>262</v>
      </c>
      <c r="C18" s="18" t="s">
        <v>4</v>
      </c>
      <c r="D18" s="19" t="s">
        <v>313</v>
      </c>
      <c r="E18" s="49">
        <v>2</v>
      </c>
      <c r="F18" s="102"/>
      <c r="G18" s="20" t="str">
        <f t="shared" ref="G18" si="6">IF(F18="","",E18*F18)</f>
        <v/>
      </c>
      <c r="I18" s="70">
        <v>0</v>
      </c>
    </row>
    <row r="19" spans="1:11" ht="63.75" x14ac:dyDescent="0.2">
      <c r="B19" s="17" t="s">
        <v>395</v>
      </c>
      <c r="C19" s="18" t="s">
        <v>4</v>
      </c>
      <c r="D19" s="19" t="s">
        <v>314</v>
      </c>
      <c r="E19" s="49">
        <f>2+16</f>
        <v>18</v>
      </c>
      <c r="F19" s="102"/>
      <c r="G19" s="20" t="str">
        <f t="shared" ref="G19" si="7">IF(F19="","",E19*F19)</f>
        <v/>
      </c>
      <c r="I19" s="70">
        <v>0</v>
      </c>
    </row>
    <row r="20" spans="1:11" x14ac:dyDescent="0.2">
      <c r="E20" s="14"/>
      <c r="F20" s="14"/>
      <c r="G20" s="14"/>
    </row>
    <row r="21" spans="1:11" ht="21.2" customHeight="1" x14ac:dyDescent="0.3">
      <c r="B21" s="111" t="s">
        <v>105</v>
      </c>
      <c r="C21" s="112"/>
      <c r="D21" s="112"/>
      <c r="E21" s="15"/>
      <c r="F21" s="15"/>
      <c r="G21" s="16"/>
    </row>
    <row r="22" spans="1:11" x14ac:dyDescent="0.2">
      <c r="E22" s="14"/>
      <c r="F22" s="14"/>
      <c r="G22" s="14"/>
    </row>
    <row r="23" spans="1:11" ht="63.75" x14ac:dyDescent="0.2">
      <c r="B23" s="17" t="s">
        <v>106</v>
      </c>
      <c r="C23" s="18" t="s">
        <v>14</v>
      </c>
      <c r="D23" s="19" t="s">
        <v>302</v>
      </c>
      <c r="E23" s="49">
        <v>164.4</v>
      </c>
      <c r="F23" s="102"/>
      <c r="G23" s="20" t="str">
        <f t="shared" ref="G23:G25" si="8">IF(F23="","",E23*F23)</f>
        <v/>
      </c>
      <c r="I23" s="71">
        <v>23.16</v>
      </c>
      <c r="K23" s="6">
        <f>(150.3-0.9)*1.1</f>
        <v>164.34000000000003</v>
      </c>
    </row>
    <row r="24" spans="1:11" ht="63.75" x14ac:dyDescent="0.2">
      <c r="B24" s="17" t="s">
        <v>107</v>
      </c>
      <c r="C24" s="18" t="s">
        <v>14</v>
      </c>
      <c r="D24" s="19" t="s">
        <v>301</v>
      </c>
      <c r="E24" s="49">
        <v>110.9</v>
      </c>
      <c r="F24" s="102"/>
      <c r="G24" s="20" t="str">
        <f t="shared" si="8"/>
        <v/>
      </c>
      <c r="I24" s="71">
        <v>29.36</v>
      </c>
      <c r="K24" s="6">
        <f>(92.9+7.9)*1.1</f>
        <v>110.88000000000002</v>
      </c>
    </row>
    <row r="25" spans="1:11" ht="63.75" x14ac:dyDescent="0.2">
      <c r="B25" s="17" t="s">
        <v>108</v>
      </c>
      <c r="C25" s="18" t="s">
        <v>14</v>
      </c>
      <c r="D25" s="19" t="s">
        <v>300</v>
      </c>
      <c r="E25" s="49">
        <f>+E24+E23</f>
        <v>275.3</v>
      </c>
      <c r="F25" s="102"/>
      <c r="G25" s="20" t="str">
        <f t="shared" si="8"/>
        <v/>
      </c>
      <c r="I25" s="71">
        <v>3.5</v>
      </c>
    </row>
    <row r="26" spans="1:11" ht="63.75" x14ac:dyDescent="0.2">
      <c r="B26" s="17" t="s">
        <v>109</v>
      </c>
      <c r="C26" s="18" t="s">
        <v>14</v>
      </c>
      <c r="D26" s="19" t="s">
        <v>299</v>
      </c>
      <c r="E26" s="49">
        <f>E23+E24</f>
        <v>275.3</v>
      </c>
      <c r="F26" s="102"/>
      <c r="G26" s="20" t="str">
        <f t="shared" ref="G26:G27" si="9">IF(F26="","",E26*F26)</f>
        <v/>
      </c>
      <c r="I26" s="72">
        <v>3.6</v>
      </c>
    </row>
    <row r="27" spans="1:11" ht="51" x14ac:dyDescent="0.2">
      <c r="B27" s="17" t="s">
        <v>110</v>
      </c>
      <c r="C27" s="18" t="s">
        <v>14</v>
      </c>
      <c r="D27" s="19" t="s">
        <v>298</v>
      </c>
      <c r="E27" s="49">
        <f>E26</f>
        <v>275.3</v>
      </c>
      <c r="F27" s="102"/>
      <c r="G27" s="20" t="str">
        <f t="shared" si="9"/>
        <v/>
      </c>
      <c r="I27" s="71">
        <v>1.04</v>
      </c>
    </row>
    <row r="28" spans="1:11" s="56" customFormat="1" ht="51" x14ac:dyDescent="0.2">
      <c r="A28" s="53"/>
      <c r="B28" s="54" t="s">
        <v>227</v>
      </c>
      <c r="C28" s="55" t="s">
        <v>4</v>
      </c>
      <c r="D28" s="47" t="s">
        <v>297</v>
      </c>
      <c r="E28" s="49">
        <v>18</v>
      </c>
      <c r="F28" s="103"/>
      <c r="G28" s="49" t="str">
        <f t="shared" ref="G28:G31" si="10">IF(F28="","",E28*F28)</f>
        <v/>
      </c>
    </row>
    <row r="29" spans="1:11" s="56" customFormat="1" ht="38.25" x14ac:dyDescent="0.2">
      <c r="A29" s="53"/>
      <c r="B29" s="54" t="s">
        <v>244</v>
      </c>
      <c r="C29" s="55" t="s">
        <v>4</v>
      </c>
      <c r="D29" s="47" t="s">
        <v>393</v>
      </c>
      <c r="E29" s="49">
        <f>29-4</f>
        <v>25</v>
      </c>
      <c r="F29" s="103"/>
      <c r="G29" s="49" t="str">
        <f t="shared" ref="G29:G30" si="11">IF(F29="","",E29*F29)</f>
        <v/>
      </c>
    </row>
    <row r="30" spans="1:11" s="56" customFormat="1" ht="38.25" x14ac:dyDescent="0.2">
      <c r="A30" s="53"/>
      <c r="B30" s="54" t="s">
        <v>245</v>
      </c>
      <c r="C30" s="55" t="s">
        <v>4</v>
      </c>
      <c r="D30" s="47" t="s">
        <v>305</v>
      </c>
      <c r="E30" s="49">
        <v>4</v>
      </c>
      <c r="F30" s="103"/>
      <c r="G30" s="49" t="str">
        <f t="shared" si="11"/>
        <v/>
      </c>
    </row>
    <row r="31" spans="1:11" s="56" customFormat="1" ht="38.25" x14ac:dyDescent="0.2">
      <c r="A31" s="53"/>
      <c r="B31" s="54" t="s">
        <v>304</v>
      </c>
      <c r="C31" s="55" t="s">
        <v>14</v>
      </c>
      <c r="D31" s="47" t="s">
        <v>303</v>
      </c>
      <c r="E31" s="49">
        <f>E23+E24</f>
        <v>275.3</v>
      </c>
      <c r="F31" s="103"/>
      <c r="G31" s="49" t="str">
        <f t="shared" si="10"/>
        <v/>
      </c>
    </row>
    <row r="32" spans="1:11" x14ac:dyDescent="0.2">
      <c r="B32" s="50"/>
      <c r="I32" s="6"/>
    </row>
    <row r="33" spans="2:9" ht="21.2" customHeight="1" x14ac:dyDescent="0.3">
      <c r="B33" s="111" t="s">
        <v>111</v>
      </c>
      <c r="C33" s="112"/>
      <c r="D33" s="112"/>
      <c r="E33" s="15"/>
      <c r="F33" s="15"/>
      <c r="G33" s="16"/>
    </row>
    <row r="34" spans="2:9" ht="12.75" customHeight="1" x14ac:dyDescent="0.3">
      <c r="B34" s="58"/>
      <c r="C34" s="58"/>
      <c r="D34" s="58"/>
      <c r="E34" s="59"/>
      <c r="F34" s="59"/>
      <c r="G34" s="59"/>
      <c r="I34" s="64"/>
    </row>
    <row r="35" spans="2:9" ht="63.75" x14ac:dyDescent="0.2">
      <c r="B35" s="54" t="s">
        <v>112</v>
      </c>
      <c r="C35" s="55" t="s">
        <v>4</v>
      </c>
      <c r="D35" s="47" t="s">
        <v>296</v>
      </c>
      <c r="E35" s="49">
        <f>E37+E38+E39</f>
        <v>55</v>
      </c>
      <c r="F35" s="103"/>
      <c r="G35" s="20" t="str">
        <f t="shared" ref="G35" si="12">IF(F35="","",E35*F35)</f>
        <v/>
      </c>
      <c r="I35" s="74">
        <v>0</v>
      </c>
    </row>
    <row r="36" spans="2:9" ht="25.5" x14ac:dyDescent="0.2">
      <c r="B36" s="17" t="s">
        <v>113</v>
      </c>
      <c r="C36" s="18" t="s">
        <v>4</v>
      </c>
      <c r="D36" s="19" t="s">
        <v>347</v>
      </c>
      <c r="E36" s="20">
        <f>E35</f>
        <v>55</v>
      </c>
      <c r="F36" s="102"/>
      <c r="G36" s="20" t="str">
        <f t="shared" ref="G36" si="13">IF(F36="","",E36*F36)</f>
        <v/>
      </c>
      <c r="I36" s="73">
        <v>0</v>
      </c>
    </row>
    <row r="37" spans="2:9" ht="38.25" x14ac:dyDescent="0.2">
      <c r="B37" s="17" t="s">
        <v>114</v>
      </c>
      <c r="C37" s="18" t="s">
        <v>4</v>
      </c>
      <c r="D37" s="19" t="s">
        <v>295</v>
      </c>
      <c r="E37" s="49">
        <v>39</v>
      </c>
      <c r="F37" s="102"/>
      <c r="G37" s="20" t="str">
        <f t="shared" ref="G37:G40" si="14">IF(F37="","",E37*F37)</f>
        <v/>
      </c>
      <c r="I37" s="74">
        <v>0</v>
      </c>
    </row>
    <row r="38" spans="2:9" ht="38.25" x14ac:dyDescent="0.2">
      <c r="B38" s="17" t="s">
        <v>115</v>
      </c>
      <c r="C38" s="18" t="s">
        <v>4</v>
      </c>
      <c r="D38" s="19" t="s">
        <v>346</v>
      </c>
      <c r="E38" s="49">
        <v>5</v>
      </c>
      <c r="F38" s="102"/>
      <c r="G38" s="20" t="str">
        <f t="shared" ref="G38" si="15">IF(F38="","",E38*F38)</f>
        <v/>
      </c>
      <c r="I38" s="75">
        <v>289</v>
      </c>
    </row>
    <row r="39" spans="2:9" ht="38.25" x14ac:dyDescent="0.2">
      <c r="B39" s="17" t="s">
        <v>256</v>
      </c>
      <c r="C39" s="18" t="s">
        <v>4</v>
      </c>
      <c r="D39" s="19" t="s">
        <v>294</v>
      </c>
      <c r="E39" s="49">
        <v>11</v>
      </c>
      <c r="F39" s="102"/>
      <c r="G39" s="20" t="str">
        <f t="shared" si="14"/>
        <v/>
      </c>
      <c r="I39" s="75">
        <v>289</v>
      </c>
    </row>
    <row r="40" spans="2:9" ht="63.75" x14ac:dyDescent="0.2">
      <c r="B40" s="17" t="s">
        <v>116</v>
      </c>
      <c r="C40" s="18" t="s">
        <v>4</v>
      </c>
      <c r="D40" s="19" t="s">
        <v>246</v>
      </c>
      <c r="E40" s="49">
        <v>15</v>
      </c>
      <c r="F40" s="102"/>
      <c r="G40" s="20" t="str">
        <f t="shared" si="14"/>
        <v/>
      </c>
      <c r="I40" s="74">
        <v>0</v>
      </c>
    </row>
    <row r="41" spans="2:9" ht="25.5" x14ac:dyDescent="0.2">
      <c r="B41" s="17" t="s">
        <v>228</v>
      </c>
      <c r="C41" s="18" t="s">
        <v>4</v>
      </c>
      <c r="D41" s="19" t="s">
        <v>215</v>
      </c>
      <c r="E41" s="49">
        <v>14</v>
      </c>
      <c r="F41" s="102"/>
      <c r="G41" s="20" t="str">
        <f t="shared" ref="G41" si="16">IF(F41="","",E41*F41)</f>
        <v/>
      </c>
      <c r="I41" s="73">
        <v>0</v>
      </c>
    </row>
    <row r="42" spans="2:9" ht="13.5" thickBot="1" x14ac:dyDescent="0.25">
      <c r="B42" s="50"/>
      <c r="I42" s="6"/>
    </row>
    <row r="43" spans="2:9" ht="16.5" thickBot="1" x14ac:dyDescent="0.25">
      <c r="D43" s="25" t="s">
        <v>123</v>
      </c>
      <c r="E43" s="26"/>
      <c r="F43" s="108" t="str">
        <f>IF(SUM(G8:G41)=0,"",SUM(G8:G41))</f>
        <v/>
      </c>
      <c r="G43" s="109"/>
    </row>
  </sheetData>
  <sheetProtection algorithmName="SHA-512" hashValue="0h15Nv64KRM+WJWw9KzCI5odH6fjawojGT/ruezgkWAq49cIwaJM/OpyT98+WwamqDXG30fkQqrKjnwse7+sHQ==" saltValue="+F2GCNR/TT2ET7szcI9zWw==" spinCount="100000" sheet="1" selectLockedCells="1"/>
  <dataConsolidate/>
  <mergeCells count="5">
    <mergeCell ref="B4:G4"/>
    <mergeCell ref="F43:G43"/>
    <mergeCell ref="B6:D6"/>
    <mergeCell ref="B21:D21"/>
    <mergeCell ref="B33:D33"/>
  </mergeCells>
  <pageMargins left="0.70866141732283472" right="0.70866141732283472" top="0.74803149606299213" bottom="0.74803149606299213" header="0.31496062992125984" footer="0.31496062992125984"/>
  <pageSetup paperSize="9" orientation="portrait" r:id="rId1"/>
  <headerFooter>
    <oddHeader>&amp;L&amp;"Arial Narrow,Navadno"    &amp;G&amp;C&amp;"Arial Narrow,Poševno"&amp;10&amp;A</oddHeader>
    <oddFooter>&amp;C&amp;"Arial Narrow,Poševno"&amp;10Stran &amp;P /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tabColor rgb="FF0070C0"/>
  </sheetPr>
  <dimension ref="A1:I17"/>
  <sheetViews>
    <sheetView view="pageBreakPreview" zoomScaleNormal="100" zoomScaleSheetLayoutView="100" zoomScalePageLayoutView="120" workbookViewId="0">
      <pane ySplit="2" topLeftCell="A3" activePane="bottomLeft" state="frozen"/>
      <selection activeCell="N28" sqref="N28"/>
      <selection pane="bottomLeft" activeCell="F15" sqref="F15"/>
    </sheetView>
  </sheetViews>
  <sheetFormatPr defaultColWidth="9.140625" defaultRowHeight="12.75" x14ac:dyDescent="0.2"/>
  <cols>
    <col min="1" max="1" width="2.140625" style="7" customWidth="1"/>
    <col min="2" max="2" width="6.28515625" style="2" customWidth="1"/>
    <col min="3" max="3" width="5.28515625" style="3" customWidth="1"/>
    <col min="4" max="4" width="45.42578125" style="4" customWidth="1"/>
    <col min="5" max="5" width="9.140625" style="60"/>
    <col min="6" max="6" width="9.140625" style="5" customWidth="1"/>
    <col min="7" max="7" width="9.7109375" style="5" customWidth="1"/>
    <col min="8" max="8" width="4" style="6" customWidth="1"/>
    <col min="9" max="9" width="16.85546875" style="64" hidden="1" customWidth="1"/>
    <col min="10" max="10" width="9.140625" style="6" customWidth="1"/>
    <col min="11" max="16384" width="9.140625" style="6"/>
  </cols>
  <sheetData>
    <row r="1" spans="1:9" x14ac:dyDescent="0.2">
      <c r="A1" s="1"/>
    </row>
    <row r="2" spans="1:9" ht="24.95" customHeight="1" x14ac:dyDescent="0.2">
      <c r="B2" s="42" t="s">
        <v>49</v>
      </c>
      <c r="C2" s="42" t="s">
        <v>54</v>
      </c>
      <c r="D2" s="42" t="s">
        <v>50</v>
      </c>
      <c r="E2" s="61" t="s">
        <v>51</v>
      </c>
      <c r="F2" s="43" t="s">
        <v>52</v>
      </c>
      <c r="G2" s="43" t="s">
        <v>53</v>
      </c>
      <c r="I2" s="65" t="s">
        <v>59</v>
      </c>
    </row>
    <row r="3" spans="1:9" x14ac:dyDescent="0.2">
      <c r="B3" s="44"/>
      <c r="C3" s="44"/>
      <c r="D3" s="45"/>
      <c r="E3" s="62"/>
      <c r="F3" s="46"/>
      <c r="G3" s="46"/>
    </row>
    <row r="4" spans="1:9" ht="15.75" x14ac:dyDescent="0.2">
      <c r="B4" s="110" t="s">
        <v>117</v>
      </c>
      <c r="C4" s="110"/>
      <c r="D4" s="110"/>
      <c r="E4" s="115"/>
      <c r="F4" s="110"/>
      <c r="G4" s="110"/>
    </row>
    <row r="5" spans="1:9" x14ac:dyDescent="0.2">
      <c r="E5" s="48" t="str">
        <f>IF(SUM(E7:E10)=0,0,"")</f>
        <v/>
      </c>
      <c r="F5" s="14"/>
      <c r="G5" s="14"/>
    </row>
    <row r="6" spans="1:9" ht="21.2" customHeight="1" x14ac:dyDescent="0.3">
      <c r="B6" s="111" t="s">
        <v>118</v>
      </c>
      <c r="C6" s="112"/>
      <c r="D6" s="112"/>
      <c r="E6" s="66" t="str">
        <f>IF(SUM(E7:E10)=0,0,"")</f>
        <v/>
      </c>
      <c r="F6" s="15"/>
      <c r="G6" s="16"/>
    </row>
    <row r="7" spans="1:9" x14ac:dyDescent="0.2">
      <c r="E7" s="48"/>
      <c r="F7" s="14"/>
      <c r="G7" s="14"/>
    </row>
    <row r="8" spans="1:9" ht="153" x14ac:dyDescent="0.2">
      <c r="B8" s="17" t="s">
        <v>389</v>
      </c>
      <c r="C8" s="18" t="s">
        <v>4</v>
      </c>
      <c r="D8" s="19" t="s">
        <v>390</v>
      </c>
      <c r="E8" s="20">
        <v>6</v>
      </c>
      <c r="F8" s="102"/>
      <c r="G8" s="20" t="str">
        <f>IF(F8="","",E8*F8)</f>
        <v/>
      </c>
      <c r="I8" s="64">
        <v>0</v>
      </c>
    </row>
    <row r="9" spans="1:9" ht="153" x14ac:dyDescent="0.2">
      <c r="B9" s="17" t="s">
        <v>119</v>
      </c>
      <c r="C9" s="18" t="s">
        <v>4</v>
      </c>
      <c r="D9" s="19" t="s">
        <v>391</v>
      </c>
      <c r="E9" s="20">
        <v>1</v>
      </c>
      <c r="F9" s="102"/>
      <c r="G9" s="20" t="str">
        <f>IF(F9="","",E9*F9)</f>
        <v/>
      </c>
      <c r="I9" s="64">
        <v>0</v>
      </c>
    </row>
    <row r="10" spans="1:9" ht="51" x14ac:dyDescent="0.2">
      <c r="B10" s="17" t="s">
        <v>120</v>
      </c>
      <c r="C10" s="18" t="s">
        <v>4</v>
      </c>
      <c r="D10" s="19" t="s">
        <v>392</v>
      </c>
      <c r="E10" s="20">
        <v>7</v>
      </c>
      <c r="F10" s="102"/>
      <c r="G10" s="20" t="str">
        <f>IF(F10="","",E10*F10)</f>
        <v/>
      </c>
      <c r="I10" s="64">
        <v>0</v>
      </c>
    </row>
    <row r="11" spans="1:9" x14ac:dyDescent="0.2">
      <c r="E11" s="14" t="str">
        <f>IF(SUM(E14:E15)=0,0,"")</f>
        <v/>
      </c>
      <c r="F11" s="14"/>
      <c r="G11" s="14"/>
    </row>
    <row r="12" spans="1:9" ht="21.2" customHeight="1" x14ac:dyDescent="0.3">
      <c r="B12" s="111" t="s">
        <v>121</v>
      </c>
      <c r="C12" s="112"/>
      <c r="D12" s="112"/>
      <c r="E12" s="15" t="str">
        <f>IF(SUM(E14:E15)=0,0,"")</f>
        <v/>
      </c>
      <c r="F12" s="15"/>
      <c r="G12" s="16"/>
    </row>
    <row r="13" spans="1:9" x14ac:dyDescent="0.2">
      <c r="E13" s="14" t="str">
        <f>IF(SUM(E14:E15)=0,0,"")</f>
        <v/>
      </c>
      <c r="F13" s="14"/>
      <c r="G13" s="14"/>
    </row>
    <row r="14" spans="1:9" ht="102" x14ac:dyDescent="0.2">
      <c r="B14" s="17" t="s">
        <v>335</v>
      </c>
      <c r="C14" s="18" t="s">
        <v>233</v>
      </c>
      <c r="D14" s="19" t="s">
        <v>334</v>
      </c>
      <c r="E14" s="49">
        <v>22</v>
      </c>
      <c r="F14" s="102"/>
      <c r="G14" s="20" t="str">
        <f t="shared" ref="G14:G15" si="0">IF(F14="","",E14*F14)</f>
        <v/>
      </c>
      <c r="I14" s="64">
        <v>0</v>
      </c>
    </row>
    <row r="15" spans="1:9" ht="63.75" x14ac:dyDescent="0.2">
      <c r="B15" s="17" t="s">
        <v>403</v>
      </c>
      <c r="C15" s="18" t="s">
        <v>4</v>
      </c>
      <c r="D15" s="19" t="s">
        <v>404</v>
      </c>
      <c r="E15" s="49">
        <v>2</v>
      </c>
      <c r="F15" s="102"/>
      <c r="G15" s="20" t="str">
        <f t="shared" si="0"/>
        <v/>
      </c>
    </row>
    <row r="16" spans="1:9" ht="13.5" thickBot="1" x14ac:dyDescent="0.25"/>
    <row r="17" spans="4:7" ht="16.5" thickBot="1" x14ac:dyDescent="0.25">
      <c r="D17" s="25" t="s">
        <v>122</v>
      </c>
      <c r="E17" s="63"/>
      <c r="F17" s="108" t="str">
        <f>IF(SUM(G5:G15)=0,"",SUM(G5:G15))</f>
        <v/>
      </c>
      <c r="G17" s="109"/>
    </row>
  </sheetData>
  <sheetProtection algorithmName="SHA-512" hashValue="9ef3b8QNDCPynR8ANvcwBzR6KHAd/lo4OWmgqe8ymYA+h9MsYlFXkyea0l95vbhUvOJ8t4BJ+LGrWcncQaQseg==" saltValue="vN3JTXouw3ElEPVDStOKvA==" spinCount="100000" sheet="1" selectLockedCells="1"/>
  <dataConsolidate/>
  <mergeCells count="4">
    <mergeCell ref="B4:G4"/>
    <mergeCell ref="B6:D6"/>
    <mergeCell ref="B12:D12"/>
    <mergeCell ref="F17:G17"/>
  </mergeCells>
  <pageMargins left="0.70866141732283472" right="0.70866141732283472" top="0.74803149606299213" bottom="0.74803149606299213" header="0.31496062992125984" footer="0.31496062992125984"/>
  <pageSetup paperSize="9" orientation="portrait" r:id="rId1"/>
  <headerFooter>
    <oddHeader>&amp;L&amp;"Arial Narrow,Navadno"    &amp;G&amp;C&amp;"Arial Narrow,Poševno"&amp;10&amp;A</oddHeader>
    <oddFooter>&amp;C&amp;"Arial Narrow,Poševno"&amp;10Stran &amp;P /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rgb="FF002060"/>
  </sheetPr>
  <dimension ref="A1:I55"/>
  <sheetViews>
    <sheetView view="pageBreakPreview" zoomScaleNormal="145" zoomScaleSheetLayoutView="100" zoomScalePageLayoutView="120" workbookViewId="0">
      <pane ySplit="2" topLeftCell="A8" activePane="bottomLeft" state="frozen"/>
      <selection activeCell="N28" sqref="N28"/>
      <selection pane="bottomLeft" activeCell="F10" sqref="F10"/>
    </sheetView>
  </sheetViews>
  <sheetFormatPr defaultColWidth="9.140625" defaultRowHeight="12.75" x14ac:dyDescent="0.2"/>
  <cols>
    <col min="1" max="1" width="2.140625" style="7" customWidth="1"/>
    <col min="2" max="2" width="6.28515625" style="2" customWidth="1"/>
    <col min="3" max="3" width="5.28515625" style="3" customWidth="1"/>
    <col min="4" max="4" width="45.42578125" style="4" customWidth="1"/>
    <col min="5" max="5" width="9.140625" style="5"/>
    <col min="6" max="6" width="9.140625" style="5" customWidth="1"/>
    <col min="7" max="7" width="9.7109375" style="5" customWidth="1"/>
    <col min="8" max="8" width="4" style="6" customWidth="1"/>
    <col min="9" max="9" width="16.85546875" style="99" hidden="1" customWidth="1"/>
    <col min="10" max="10" width="9.140625" style="6" customWidth="1"/>
    <col min="11" max="16384" width="9.140625" style="6"/>
  </cols>
  <sheetData>
    <row r="1" spans="1:9" x14ac:dyDescent="0.2">
      <c r="A1" s="1"/>
    </row>
    <row r="2" spans="1:9" ht="24.95" customHeight="1" x14ac:dyDescent="0.2">
      <c r="B2" s="42" t="s">
        <v>49</v>
      </c>
      <c r="C2" s="42" t="s">
        <v>54</v>
      </c>
      <c r="D2" s="42" t="s">
        <v>50</v>
      </c>
      <c r="E2" s="43" t="s">
        <v>51</v>
      </c>
      <c r="F2" s="43" t="s">
        <v>52</v>
      </c>
      <c r="G2" s="43" t="s">
        <v>53</v>
      </c>
      <c r="I2" s="100" t="s">
        <v>59</v>
      </c>
    </row>
    <row r="3" spans="1:9" x14ac:dyDescent="0.2">
      <c r="B3" s="44"/>
      <c r="C3" s="44"/>
      <c r="D3" s="45"/>
      <c r="E3" s="46"/>
      <c r="F3" s="46"/>
      <c r="G3" s="46"/>
    </row>
    <row r="4" spans="1:9" ht="15.75" x14ac:dyDescent="0.2">
      <c r="B4" s="110" t="s">
        <v>127</v>
      </c>
      <c r="C4" s="110"/>
      <c r="D4" s="110"/>
      <c r="E4" s="110"/>
      <c r="F4" s="110"/>
      <c r="G4" s="110"/>
    </row>
    <row r="5" spans="1:9" ht="12.75" customHeight="1" x14ac:dyDescent="0.2">
      <c r="B5" s="13"/>
      <c r="C5" s="13"/>
      <c r="D5" s="13"/>
      <c r="E5" s="51" t="str">
        <f>IF(SUM(E8:E14)=0,0,"")</f>
        <v/>
      </c>
      <c r="F5" s="51"/>
      <c r="G5" s="51"/>
    </row>
    <row r="6" spans="1:9" ht="21.2" customHeight="1" x14ac:dyDescent="0.3">
      <c r="B6" s="111" t="s">
        <v>128</v>
      </c>
      <c r="C6" s="112"/>
      <c r="D6" s="112"/>
      <c r="E6" s="15" t="str">
        <f>IF(SUM(E8:E14)=0,0,"")</f>
        <v/>
      </c>
      <c r="F6" s="15"/>
      <c r="G6" s="16"/>
    </row>
    <row r="7" spans="1:9" x14ac:dyDescent="0.2">
      <c r="E7" s="57" t="str">
        <f>IF(SUM(E8:E14)=0,0,"")</f>
        <v/>
      </c>
      <c r="F7" s="57"/>
      <c r="G7" s="57"/>
    </row>
    <row r="8" spans="1:9" ht="51" x14ac:dyDescent="0.2">
      <c r="B8" s="17" t="s">
        <v>236</v>
      </c>
      <c r="C8" s="18" t="s">
        <v>4</v>
      </c>
      <c r="D8" s="19" t="s">
        <v>329</v>
      </c>
      <c r="E8" s="49">
        <v>19</v>
      </c>
      <c r="F8" s="102"/>
      <c r="G8" s="20" t="str">
        <f t="shared" ref="G8:G9" si="0">IF(F8="","",E8*F8)</f>
        <v/>
      </c>
      <c r="I8" s="99">
        <v>0</v>
      </c>
    </row>
    <row r="9" spans="1:9" ht="38.25" x14ac:dyDescent="0.2">
      <c r="B9" s="17" t="s">
        <v>129</v>
      </c>
      <c r="C9" s="18" t="s">
        <v>4</v>
      </c>
      <c r="D9" s="19" t="s">
        <v>330</v>
      </c>
      <c r="E9" s="49">
        <v>19</v>
      </c>
      <c r="F9" s="102"/>
      <c r="G9" s="20" t="str">
        <f t="shared" si="0"/>
        <v/>
      </c>
      <c r="I9" s="99">
        <v>0</v>
      </c>
    </row>
    <row r="10" spans="1:9" ht="51" x14ac:dyDescent="0.2">
      <c r="B10" s="17" t="s">
        <v>130</v>
      </c>
      <c r="C10" s="18" t="s">
        <v>4</v>
      </c>
      <c r="D10" s="19" t="s">
        <v>327</v>
      </c>
      <c r="E10" s="49">
        <v>4</v>
      </c>
      <c r="F10" s="102"/>
      <c r="G10" s="20" t="str">
        <f t="shared" ref="G10:G13" si="1">IF(F10="","",E10*F10)</f>
        <v/>
      </c>
      <c r="I10" s="99">
        <v>105</v>
      </c>
    </row>
    <row r="11" spans="1:9" ht="63.75" x14ac:dyDescent="0.2">
      <c r="B11" s="17" t="s">
        <v>131</v>
      </c>
      <c r="C11" s="18" t="s">
        <v>4</v>
      </c>
      <c r="D11" s="19" t="s">
        <v>366</v>
      </c>
      <c r="E11" s="49">
        <v>5</v>
      </c>
      <c r="F11" s="102"/>
      <c r="G11" s="20" t="str">
        <f t="shared" si="1"/>
        <v/>
      </c>
      <c r="I11" s="99">
        <v>125</v>
      </c>
    </row>
    <row r="12" spans="1:9" ht="63.75" x14ac:dyDescent="0.2">
      <c r="B12" s="17" t="s">
        <v>132</v>
      </c>
      <c r="C12" s="18" t="s">
        <v>4</v>
      </c>
      <c r="D12" s="19" t="s">
        <v>367</v>
      </c>
      <c r="E12" s="49">
        <v>10</v>
      </c>
      <c r="F12" s="102"/>
      <c r="G12" s="20" t="str">
        <f t="shared" si="1"/>
        <v/>
      </c>
      <c r="I12" s="99">
        <v>0</v>
      </c>
    </row>
    <row r="13" spans="1:9" ht="51" x14ac:dyDescent="0.2">
      <c r="B13" s="17" t="s">
        <v>133</v>
      </c>
      <c r="C13" s="18" t="s">
        <v>4</v>
      </c>
      <c r="D13" s="19" t="s">
        <v>368</v>
      </c>
      <c r="E13" s="49">
        <v>6</v>
      </c>
      <c r="F13" s="102"/>
      <c r="G13" s="20" t="str">
        <f t="shared" si="1"/>
        <v/>
      </c>
      <c r="I13" s="99">
        <v>150</v>
      </c>
    </row>
    <row r="14" spans="1:9" ht="63.75" x14ac:dyDescent="0.2">
      <c r="B14" s="17" t="s">
        <v>134</v>
      </c>
      <c r="C14" s="18" t="s">
        <v>4</v>
      </c>
      <c r="D14" s="19" t="s">
        <v>369</v>
      </c>
      <c r="E14" s="49">
        <v>5</v>
      </c>
      <c r="F14" s="102"/>
      <c r="G14" s="20" t="str">
        <f t="shared" ref="G14" si="2">IF(F14="","",E14*F14)</f>
        <v/>
      </c>
      <c r="I14" s="99">
        <v>150</v>
      </c>
    </row>
    <row r="15" spans="1:9" x14ac:dyDescent="0.2">
      <c r="E15" s="14" t="str">
        <f>IF(SUM(E18:E38)=0,0,"")</f>
        <v/>
      </c>
      <c r="F15" s="14"/>
      <c r="G15" s="14"/>
    </row>
    <row r="16" spans="1:9" ht="21.2" customHeight="1" x14ac:dyDescent="0.3">
      <c r="B16" s="111" t="s">
        <v>135</v>
      </c>
      <c r="C16" s="112"/>
      <c r="D16" s="112"/>
      <c r="E16" s="15" t="str">
        <f>IF(SUM(E18:E38)=0,0,"")</f>
        <v/>
      </c>
      <c r="F16" s="15"/>
      <c r="G16" s="16"/>
    </row>
    <row r="17" spans="2:9" x14ac:dyDescent="0.2">
      <c r="E17" s="14" t="str">
        <f>IF(SUM(E18:E38)=0,0,"")</f>
        <v/>
      </c>
      <c r="F17" s="14"/>
      <c r="G17" s="14"/>
    </row>
    <row r="18" spans="2:9" ht="63.75" x14ac:dyDescent="0.2">
      <c r="B18" s="17" t="s">
        <v>136</v>
      </c>
      <c r="C18" s="18" t="s">
        <v>14</v>
      </c>
      <c r="D18" s="19" t="s">
        <v>372</v>
      </c>
      <c r="E18" s="49">
        <f>(2.5*6+3*4+1.75*2+2.25*6)*1.1</f>
        <v>48.400000000000006</v>
      </c>
      <c r="F18" s="102"/>
      <c r="G18" s="20" t="str">
        <f>IF(F18="","",E18*F18)</f>
        <v/>
      </c>
      <c r="I18" s="99">
        <v>0</v>
      </c>
    </row>
    <row r="19" spans="2:9" ht="63.75" x14ac:dyDescent="0.2">
      <c r="B19" s="17" t="s">
        <v>137</v>
      </c>
      <c r="C19" s="18" t="s">
        <v>14</v>
      </c>
      <c r="D19" s="19" t="s">
        <v>374</v>
      </c>
      <c r="E19" s="49">
        <f>37.5</f>
        <v>37.5</v>
      </c>
      <c r="F19" s="102"/>
      <c r="G19" s="20" t="str">
        <f t="shared" ref="G19:G24" si="3">IF(F19="","",E19*F19)</f>
        <v/>
      </c>
      <c r="I19" s="99">
        <v>0</v>
      </c>
    </row>
    <row r="20" spans="2:9" ht="63.75" x14ac:dyDescent="0.2">
      <c r="B20" s="17" t="s">
        <v>138</v>
      </c>
      <c r="C20" s="18" t="s">
        <v>14</v>
      </c>
      <c r="D20" s="19" t="s">
        <v>385</v>
      </c>
      <c r="E20" s="49">
        <f>1.7*2</f>
        <v>3.4</v>
      </c>
      <c r="F20" s="102"/>
      <c r="G20" s="20" t="str">
        <f t="shared" si="3"/>
        <v/>
      </c>
      <c r="I20" s="99">
        <v>0</v>
      </c>
    </row>
    <row r="21" spans="2:9" ht="63.75" x14ac:dyDescent="0.2">
      <c r="B21" s="17" t="s">
        <v>139</v>
      </c>
      <c r="C21" s="18" t="s">
        <v>14</v>
      </c>
      <c r="D21" s="19" t="s">
        <v>325</v>
      </c>
      <c r="E21" s="49">
        <f>4.1+3.1+7.8+3.5</f>
        <v>18.5</v>
      </c>
      <c r="F21" s="102"/>
      <c r="G21" s="20" t="str">
        <f t="shared" si="3"/>
        <v/>
      </c>
      <c r="I21" s="99">
        <v>2.5</v>
      </c>
    </row>
    <row r="22" spans="2:9" ht="76.5" x14ac:dyDescent="0.2">
      <c r="B22" s="17" t="s">
        <v>237</v>
      </c>
      <c r="C22" s="18" t="s">
        <v>8</v>
      </c>
      <c r="D22" s="19" t="s">
        <v>328</v>
      </c>
      <c r="E22" s="49">
        <f>(31.5+4.75*3+34.7+38)*1.1</f>
        <v>130.29500000000002</v>
      </c>
      <c r="F22" s="102"/>
      <c r="G22" s="20" t="str">
        <f t="shared" si="3"/>
        <v/>
      </c>
      <c r="I22" s="99">
        <v>15</v>
      </c>
    </row>
    <row r="23" spans="2:9" ht="63.75" x14ac:dyDescent="0.2">
      <c r="B23" s="17" t="s">
        <v>140</v>
      </c>
      <c r="C23" s="18" t="s">
        <v>14</v>
      </c>
      <c r="D23" s="19" t="s">
        <v>373</v>
      </c>
      <c r="E23" s="49">
        <f>67.5</f>
        <v>67.5</v>
      </c>
      <c r="F23" s="102"/>
      <c r="G23" s="20" t="str">
        <f t="shared" si="3"/>
        <v/>
      </c>
      <c r="I23" s="99">
        <v>0</v>
      </c>
    </row>
    <row r="24" spans="2:9" ht="63.75" x14ac:dyDescent="0.2">
      <c r="B24" s="17" t="s">
        <v>141</v>
      </c>
      <c r="C24" s="18" t="s">
        <v>14</v>
      </c>
      <c r="D24" s="19" t="s">
        <v>378</v>
      </c>
      <c r="E24" s="49">
        <v>35.700000000000003</v>
      </c>
      <c r="F24" s="102"/>
      <c r="G24" s="20" t="str">
        <f t="shared" si="3"/>
        <v/>
      </c>
      <c r="I24" s="99">
        <v>0</v>
      </c>
    </row>
    <row r="25" spans="2:9" ht="63.75" x14ac:dyDescent="0.2">
      <c r="B25" s="17" t="s">
        <v>142</v>
      </c>
      <c r="C25" s="18" t="s">
        <v>14</v>
      </c>
      <c r="D25" s="19" t="s">
        <v>377</v>
      </c>
      <c r="E25" s="49">
        <v>40</v>
      </c>
      <c r="F25" s="102"/>
      <c r="G25" s="20" t="str">
        <f t="shared" ref="G25:G36" si="4">IF(F25="","",E25*F25)</f>
        <v/>
      </c>
      <c r="I25" s="99">
        <v>0</v>
      </c>
    </row>
    <row r="26" spans="2:9" ht="63.75" x14ac:dyDescent="0.2">
      <c r="B26" s="17" t="s">
        <v>143</v>
      </c>
      <c r="C26" s="18" t="s">
        <v>8</v>
      </c>
      <c r="D26" s="19" t="s">
        <v>379</v>
      </c>
      <c r="E26" s="49">
        <f>(0.35*4)*1.1</f>
        <v>1.54</v>
      </c>
      <c r="F26" s="102"/>
      <c r="G26" s="20" t="str">
        <f t="shared" si="4"/>
        <v/>
      </c>
      <c r="I26" s="99">
        <v>0</v>
      </c>
    </row>
    <row r="27" spans="2:9" ht="63.75" x14ac:dyDescent="0.2">
      <c r="B27" s="17" t="s">
        <v>144</v>
      </c>
      <c r="C27" s="18" t="s">
        <v>8</v>
      </c>
      <c r="D27" s="19" t="s">
        <v>326</v>
      </c>
      <c r="E27" s="49">
        <f>(8*0.7+7*0.7*3+9*0.3*2)*1.1</f>
        <v>28.269999999999996</v>
      </c>
      <c r="F27" s="102"/>
      <c r="G27" s="20" t="str">
        <f t="shared" si="4"/>
        <v/>
      </c>
      <c r="I27" s="99">
        <v>0</v>
      </c>
    </row>
    <row r="28" spans="2:9" ht="63.75" x14ac:dyDescent="0.2">
      <c r="B28" s="17" t="s">
        <v>145</v>
      </c>
      <c r="C28" s="18" t="s">
        <v>8</v>
      </c>
      <c r="D28" s="19" t="s">
        <v>380</v>
      </c>
      <c r="E28" s="49">
        <f>(0.25*7)*1.1</f>
        <v>1.9250000000000003</v>
      </c>
      <c r="F28" s="102"/>
      <c r="G28" s="20" t="str">
        <f t="shared" ref="G28" si="5">IF(F28="","",E28*F28)</f>
        <v/>
      </c>
      <c r="I28" s="99">
        <v>0</v>
      </c>
    </row>
    <row r="29" spans="2:9" ht="63.75" x14ac:dyDescent="0.2">
      <c r="B29" s="17" t="s">
        <v>146</v>
      </c>
      <c r="C29" s="18" t="s">
        <v>8</v>
      </c>
      <c r="D29" s="19" t="s">
        <v>384</v>
      </c>
      <c r="E29" s="49">
        <f>(9.75+9.75)*1.1</f>
        <v>21.450000000000003</v>
      </c>
      <c r="F29" s="102"/>
      <c r="G29" s="20" t="str">
        <f t="shared" si="4"/>
        <v/>
      </c>
      <c r="I29" s="99">
        <v>0</v>
      </c>
    </row>
    <row r="30" spans="2:9" ht="63.75" x14ac:dyDescent="0.2">
      <c r="B30" s="17" t="s">
        <v>381</v>
      </c>
      <c r="C30" s="18" t="s">
        <v>8</v>
      </c>
      <c r="D30" s="19" t="s">
        <v>382</v>
      </c>
      <c r="E30" s="49">
        <f>(6*0.6)*1.1</f>
        <v>3.96</v>
      </c>
      <c r="F30" s="102"/>
      <c r="G30" s="20" t="str">
        <f t="shared" ref="G30" si="6">IF(F30="","",E30*F30)</f>
        <v/>
      </c>
      <c r="I30" s="99">
        <v>0</v>
      </c>
    </row>
    <row r="31" spans="2:9" ht="38.25" x14ac:dyDescent="0.2">
      <c r="B31" s="17" t="s">
        <v>147</v>
      </c>
      <c r="C31" s="18" t="s">
        <v>14</v>
      </c>
      <c r="D31" s="19" t="s">
        <v>375</v>
      </c>
      <c r="E31" s="49">
        <v>37.5</v>
      </c>
      <c r="F31" s="102"/>
      <c r="G31" s="20" t="str">
        <f t="shared" si="4"/>
        <v/>
      </c>
      <c r="I31" s="99">
        <v>0</v>
      </c>
    </row>
    <row r="32" spans="2:9" ht="63.75" x14ac:dyDescent="0.2">
      <c r="B32" s="17" t="s">
        <v>148</v>
      </c>
      <c r="C32" s="18" t="s">
        <v>14</v>
      </c>
      <c r="D32" s="47" t="s">
        <v>386</v>
      </c>
      <c r="E32" s="49">
        <f>(5+65.5+11.5+166.4+94.3+30.1+459.9)*1.1+5</f>
        <v>920.97000000000014</v>
      </c>
      <c r="F32" s="102"/>
      <c r="G32" s="20" t="str">
        <f t="shared" si="4"/>
        <v/>
      </c>
      <c r="I32" s="99">
        <v>0</v>
      </c>
    </row>
    <row r="33" spans="2:9" ht="63.75" x14ac:dyDescent="0.2">
      <c r="B33" s="17" t="s">
        <v>149</v>
      </c>
      <c r="C33" s="18" t="s">
        <v>14</v>
      </c>
      <c r="D33" s="47" t="s">
        <v>323</v>
      </c>
      <c r="E33" s="49">
        <f>(897.5+7.7)*1.1</f>
        <v>995.72000000000014</v>
      </c>
      <c r="F33" s="102"/>
      <c r="G33" s="20" t="str">
        <f t="shared" si="4"/>
        <v/>
      </c>
      <c r="I33" s="99">
        <v>0</v>
      </c>
    </row>
    <row r="34" spans="2:9" ht="89.25" x14ac:dyDescent="0.2">
      <c r="B34" s="17" t="s">
        <v>150</v>
      </c>
      <c r="C34" s="18" t="s">
        <v>8</v>
      </c>
      <c r="D34" s="19" t="s">
        <v>383</v>
      </c>
      <c r="E34" s="49">
        <f>(22*0.22+3*0.35+3*0.33)*1.1</f>
        <v>7.5680000000000005</v>
      </c>
      <c r="F34" s="102"/>
      <c r="G34" s="20" t="str">
        <f t="shared" si="4"/>
        <v/>
      </c>
      <c r="I34" s="99">
        <v>0</v>
      </c>
    </row>
    <row r="35" spans="2:9" ht="89.25" x14ac:dyDescent="0.2">
      <c r="B35" s="17" t="s">
        <v>151</v>
      </c>
      <c r="C35" s="18" t="s">
        <v>8</v>
      </c>
      <c r="D35" s="19" t="s">
        <v>324</v>
      </c>
      <c r="E35" s="49">
        <f>25*0.25*1.1</f>
        <v>6.8750000000000009</v>
      </c>
      <c r="F35" s="102"/>
      <c r="G35" s="20" t="str">
        <f t="shared" si="4"/>
        <v/>
      </c>
      <c r="I35" s="99">
        <v>0</v>
      </c>
    </row>
    <row r="36" spans="2:9" ht="89.25" x14ac:dyDescent="0.2">
      <c r="B36" s="17" t="s">
        <v>152</v>
      </c>
      <c r="C36" s="18" t="s">
        <v>8</v>
      </c>
      <c r="D36" s="19" t="s">
        <v>371</v>
      </c>
      <c r="E36" s="49">
        <f>(12.5+30+9.6+10.5+15.2+14+5.3+15.7+23.8+17.8+1.25+4.25+4+2.75)*1.1</f>
        <v>183.31500000000003</v>
      </c>
      <c r="F36" s="102"/>
      <c r="G36" s="20" t="str">
        <f t="shared" si="4"/>
        <v/>
      </c>
      <c r="I36" s="99">
        <v>30</v>
      </c>
    </row>
    <row r="37" spans="2:9" ht="76.5" x14ac:dyDescent="0.2">
      <c r="B37" s="17" t="s">
        <v>153</v>
      </c>
      <c r="C37" s="18" t="s">
        <v>14</v>
      </c>
      <c r="D37" s="47" t="s">
        <v>376</v>
      </c>
      <c r="E37" s="49">
        <f>15+10+11.5+11.3+9</f>
        <v>56.8</v>
      </c>
      <c r="F37" s="102"/>
      <c r="G37" s="20" t="str">
        <f t="shared" ref="G37" si="7">IF(F37="","",E37*F37)</f>
        <v/>
      </c>
      <c r="I37" s="99">
        <v>0</v>
      </c>
    </row>
    <row r="38" spans="2:9" ht="38.25" x14ac:dyDescent="0.2">
      <c r="B38" s="17" t="s">
        <v>154</v>
      </c>
      <c r="C38" s="18" t="s">
        <v>14</v>
      </c>
      <c r="D38" s="19" t="s">
        <v>322</v>
      </c>
      <c r="E38" s="49">
        <f>(5+65.5+11.5+166.4+94.3+30.1+459.9)*1.1</f>
        <v>915.97000000000014</v>
      </c>
      <c r="F38" s="102"/>
      <c r="G38" s="20" t="str">
        <f t="shared" ref="G38" si="8">IF(F38="","",E38*F38)</f>
        <v/>
      </c>
      <c r="I38" s="99">
        <v>0</v>
      </c>
    </row>
    <row r="39" spans="2:9" x14ac:dyDescent="0.2">
      <c r="E39" s="14" t="str">
        <f>IF(SUM(E42:E42)=0,0,"")</f>
        <v/>
      </c>
      <c r="F39" s="14"/>
      <c r="G39" s="14"/>
    </row>
    <row r="40" spans="2:9" ht="21.2" customHeight="1" x14ac:dyDescent="0.3">
      <c r="B40" s="111" t="s">
        <v>155</v>
      </c>
      <c r="C40" s="112"/>
      <c r="D40" s="112"/>
      <c r="E40" s="15" t="str">
        <f>IF(SUM(E42:E42)=0,0,"")</f>
        <v/>
      </c>
      <c r="F40" s="15"/>
      <c r="G40" s="16"/>
    </row>
    <row r="41" spans="2:9" x14ac:dyDescent="0.2">
      <c r="E41" s="14" t="str">
        <f>IF(SUM(E42:E42)=0,0,"")</f>
        <v/>
      </c>
      <c r="F41" s="14"/>
      <c r="G41" s="14"/>
    </row>
    <row r="42" spans="2:9" ht="38.25" x14ac:dyDescent="0.2">
      <c r="B42" s="17" t="s">
        <v>156</v>
      </c>
      <c r="C42" s="18" t="s">
        <v>4</v>
      </c>
      <c r="D42" s="19" t="s">
        <v>370</v>
      </c>
      <c r="E42" s="49">
        <v>1</v>
      </c>
      <c r="F42" s="102"/>
      <c r="G42" s="20" t="str">
        <f t="shared" ref="G42" si="9">IF(F42="","",E42*F42)</f>
        <v/>
      </c>
      <c r="I42" s="99">
        <v>0</v>
      </c>
    </row>
    <row r="43" spans="2:9" x14ac:dyDescent="0.2">
      <c r="E43" s="14" t="str">
        <f>IF(SUM(E46:E46)=0,0,"")</f>
        <v/>
      </c>
      <c r="F43" s="14"/>
      <c r="G43" s="14"/>
    </row>
    <row r="44" spans="2:9" ht="21.2" customHeight="1" x14ac:dyDescent="0.3">
      <c r="B44" s="111" t="s">
        <v>157</v>
      </c>
      <c r="C44" s="112"/>
      <c r="D44" s="112"/>
      <c r="E44" s="15" t="str">
        <f>IF(SUM(E46:E46)=0,0,"")</f>
        <v/>
      </c>
      <c r="F44" s="15"/>
      <c r="G44" s="16"/>
    </row>
    <row r="45" spans="2:9" x14ac:dyDescent="0.2">
      <c r="E45" s="14" t="str">
        <f>IF(SUM(E46:E46)=0,0,"")</f>
        <v/>
      </c>
      <c r="F45" s="14"/>
      <c r="G45" s="14"/>
    </row>
    <row r="46" spans="2:9" ht="38.25" x14ac:dyDescent="0.2">
      <c r="B46" s="17" t="s">
        <v>250</v>
      </c>
      <c r="C46" s="18" t="s">
        <v>4</v>
      </c>
      <c r="D46" s="19" t="s">
        <v>387</v>
      </c>
      <c r="E46" s="49">
        <v>30</v>
      </c>
      <c r="F46" s="102"/>
      <c r="G46" s="20" t="str">
        <f t="shared" ref="G46" si="10">IF(F46="","",E46*F46)</f>
        <v/>
      </c>
      <c r="I46" s="99">
        <v>0</v>
      </c>
    </row>
    <row r="47" spans="2:9" x14ac:dyDescent="0.2">
      <c r="E47" s="14" t="str">
        <f>IF(SUM(E50:E54)=0,0,"")</f>
        <v/>
      </c>
      <c r="F47" s="14"/>
      <c r="G47" s="14"/>
    </row>
    <row r="48" spans="2:9" ht="21.2" customHeight="1" x14ac:dyDescent="0.3">
      <c r="B48" s="111" t="s">
        <v>158</v>
      </c>
      <c r="C48" s="112"/>
      <c r="D48" s="112"/>
      <c r="E48" s="15" t="str">
        <f>IF(SUM(E50:E54)=0,0,"")</f>
        <v/>
      </c>
      <c r="F48" s="15"/>
      <c r="G48" s="16"/>
    </row>
    <row r="49" spans="2:9" x14ac:dyDescent="0.2">
      <c r="E49" s="14" t="str">
        <f>IF(SUM(E50:E54)=0,0,"")</f>
        <v/>
      </c>
      <c r="F49" s="14"/>
      <c r="G49" s="14"/>
    </row>
    <row r="50" spans="2:9" ht="51" x14ac:dyDescent="0.2">
      <c r="B50" s="17" t="s">
        <v>247</v>
      </c>
      <c r="C50" s="18" t="s">
        <v>4</v>
      </c>
      <c r="D50" s="19" t="s">
        <v>362</v>
      </c>
      <c r="E50" s="49">
        <v>2</v>
      </c>
      <c r="F50" s="102"/>
      <c r="G50" s="20" t="str">
        <f t="shared" ref="G50:G52" si="11">IF(F50="","",E50*F50)</f>
        <v/>
      </c>
      <c r="I50" s="99">
        <v>0</v>
      </c>
    </row>
    <row r="51" spans="2:9" ht="38.25" x14ac:dyDescent="0.2">
      <c r="B51" s="17" t="s">
        <v>260</v>
      </c>
      <c r="C51" s="18" t="s">
        <v>4</v>
      </c>
      <c r="D51" s="19" t="s">
        <v>248</v>
      </c>
      <c r="E51" s="49">
        <v>2</v>
      </c>
      <c r="F51" s="102"/>
      <c r="G51" s="20" t="str">
        <f t="shared" ref="G51" si="12">IF(F51="","",E51*F51)</f>
        <v/>
      </c>
      <c r="I51" s="99">
        <v>0</v>
      </c>
    </row>
    <row r="52" spans="2:9" ht="38.25" x14ac:dyDescent="0.2">
      <c r="B52" s="17" t="s">
        <v>261</v>
      </c>
      <c r="C52" s="18" t="s">
        <v>363</v>
      </c>
      <c r="D52" s="19" t="s">
        <v>249</v>
      </c>
      <c r="E52" s="49">
        <v>2</v>
      </c>
      <c r="F52" s="102"/>
      <c r="G52" s="20" t="str">
        <f t="shared" si="11"/>
        <v/>
      </c>
      <c r="I52" s="99">
        <v>0</v>
      </c>
    </row>
    <row r="53" spans="2:9" ht="38.25" x14ac:dyDescent="0.2">
      <c r="B53" s="17" t="s">
        <v>361</v>
      </c>
      <c r="C53" s="18" t="s">
        <v>4</v>
      </c>
      <c r="D53" s="19" t="s">
        <v>360</v>
      </c>
      <c r="E53" s="20">
        <v>6</v>
      </c>
      <c r="F53" s="102"/>
      <c r="G53" s="20" t="str">
        <f t="shared" ref="G53" si="13">IF(F53="","",E53*F53)</f>
        <v/>
      </c>
      <c r="I53" s="6"/>
    </row>
    <row r="54" spans="2:9" ht="13.5" thickBot="1" x14ac:dyDescent="0.25">
      <c r="I54" s="6"/>
    </row>
    <row r="55" spans="2:9" ht="16.5" thickBot="1" x14ac:dyDescent="0.25">
      <c r="D55" s="25" t="s">
        <v>126</v>
      </c>
      <c r="E55" s="26"/>
      <c r="F55" s="108" t="str">
        <f>IF(SUM(G8:G53)=0,"",SUM(G8:G53))</f>
        <v/>
      </c>
      <c r="G55" s="109"/>
    </row>
  </sheetData>
  <sheetProtection algorithmName="SHA-512" hashValue="m3gQd5t992O8UPz1f+dlYNV0mDohyikFjUqT4fbhhNUXwrmF4jU881SROFZzHn7kxh9fTK7MNefgukpTiGSzGQ==" saltValue="unfuBtcXWHJCZNhhOU1CtQ==" spinCount="100000" sheet="1" selectLockedCells="1"/>
  <dataConsolidate/>
  <mergeCells count="7">
    <mergeCell ref="B48:D48"/>
    <mergeCell ref="F55:G55"/>
    <mergeCell ref="B4:G4"/>
    <mergeCell ref="B6:D6"/>
    <mergeCell ref="B16:D16"/>
    <mergeCell ref="B40:D40"/>
    <mergeCell ref="B44:D44"/>
  </mergeCells>
  <pageMargins left="0.70866141732283472" right="0.70866141732283472" top="0.74803149606299213" bottom="0.74803149606299213" header="0.31496062992125984" footer="0.31496062992125984"/>
  <pageSetup paperSize="9" orientation="portrait" r:id="rId1"/>
  <headerFooter>
    <oddHeader>&amp;L&amp;"Arial Narrow,Navadno"    &amp;G&amp;C&amp;"Arial Narrow,Poševno"&amp;10&amp;A</oddHeader>
    <oddFooter>&amp;C&amp;"Arial Narrow,Poševno"&amp;10Stran &amp;P / &amp;N</oddFooter>
  </headerFooter>
  <rowBreaks count="1" manualBreakCount="1">
    <brk id="43"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dimension ref="A1:I35"/>
  <sheetViews>
    <sheetView view="pageBreakPreview" zoomScaleNormal="100" zoomScaleSheetLayoutView="100" zoomScalePageLayoutView="120" workbookViewId="0">
      <pane ySplit="2" topLeftCell="A8" activePane="bottomLeft" state="frozen"/>
      <selection activeCell="N28" sqref="N28"/>
      <selection pane="bottomLeft" activeCell="F8" sqref="F8"/>
    </sheetView>
  </sheetViews>
  <sheetFormatPr defaultColWidth="9.140625" defaultRowHeight="12.75" x14ac:dyDescent="0.2"/>
  <cols>
    <col min="1" max="1" width="2.140625" style="7" customWidth="1"/>
    <col min="2" max="2" width="6.28515625" style="2" customWidth="1"/>
    <col min="3" max="3" width="5.5703125" style="3" customWidth="1"/>
    <col min="4" max="4" width="43.85546875" style="4" customWidth="1"/>
    <col min="5" max="5" width="9.140625" style="5"/>
    <col min="6" max="6" width="10.28515625" style="5" customWidth="1"/>
    <col min="7" max="7" width="9.7109375" style="5" customWidth="1"/>
    <col min="8" max="8" width="4" style="6" customWidth="1"/>
    <col min="9" max="9" width="6" style="99" hidden="1" customWidth="1"/>
    <col min="10" max="10" width="9.140625" style="6" customWidth="1"/>
    <col min="11" max="16384" width="9.140625" style="6"/>
  </cols>
  <sheetData>
    <row r="1" spans="1:9" x14ac:dyDescent="0.2">
      <c r="A1" s="1"/>
    </row>
    <row r="2" spans="1:9" ht="24.95" customHeight="1" x14ac:dyDescent="0.2">
      <c r="B2" s="42" t="s">
        <v>49</v>
      </c>
      <c r="C2" s="42" t="s">
        <v>54</v>
      </c>
      <c r="D2" s="42" t="s">
        <v>50</v>
      </c>
      <c r="E2" s="43" t="s">
        <v>51</v>
      </c>
      <c r="F2" s="43" t="s">
        <v>52</v>
      </c>
      <c r="G2" s="43" t="s">
        <v>53</v>
      </c>
      <c r="I2" s="100" t="s">
        <v>59</v>
      </c>
    </row>
    <row r="3" spans="1:9" x14ac:dyDescent="0.2">
      <c r="B3" s="44"/>
      <c r="C3" s="44"/>
      <c r="D3" s="45"/>
      <c r="E3" s="46"/>
      <c r="F3" s="46"/>
      <c r="G3" s="46"/>
    </row>
    <row r="4" spans="1:9" ht="15.75" x14ac:dyDescent="0.2">
      <c r="B4" s="110" t="s">
        <v>160</v>
      </c>
      <c r="C4" s="110"/>
      <c r="D4" s="110"/>
      <c r="E4" s="110"/>
      <c r="F4" s="110"/>
      <c r="G4" s="110"/>
    </row>
    <row r="5" spans="1:9" ht="12.75" customHeight="1" x14ac:dyDescent="0.2">
      <c r="B5" s="50"/>
      <c r="E5" s="5" t="str">
        <f>IF(SUM(E8:E8)=0,0,"")</f>
        <v/>
      </c>
      <c r="I5" s="6"/>
    </row>
    <row r="6" spans="1:9" ht="21.2" customHeight="1" x14ac:dyDescent="0.3">
      <c r="B6" s="111" t="s">
        <v>161</v>
      </c>
      <c r="C6" s="112"/>
      <c r="D6" s="112"/>
      <c r="E6" s="15" t="str">
        <f>IF(SUM(E8:E8)=0,0,"")</f>
        <v/>
      </c>
      <c r="F6" s="15"/>
      <c r="G6" s="16"/>
    </row>
    <row r="7" spans="1:9" x14ac:dyDescent="0.2">
      <c r="E7" s="57" t="str">
        <f>IF(SUM(E8:E8)=0,0,"")</f>
        <v/>
      </c>
      <c r="F7" s="57"/>
      <c r="G7" s="57"/>
    </row>
    <row r="8" spans="1:9" ht="51" x14ac:dyDescent="0.2">
      <c r="B8" s="17" t="s">
        <v>162</v>
      </c>
      <c r="C8" s="18" t="s">
        <v>233</v>
      </c>
      <c r="D8" s="19" t="s">
        <v>321</v>
      </c>
      <c r="E8" s="49">
        <v>100</v>
      </c>
      <c r="F8" s="102"/>
      <c r="G8" s="20" t="str">
        <f>IF(F8="","",E8*F8)</f>
        <v/>
      </c>
      <c r="I8" s="99">
        <v>0</v>
      </c>
    </row>
    <row r="9" spans="1:9" ht="12.75" customHeight="1" x14ac:dyDescent="0.2">
      <c r="E9" s="57" t="str">
        <f>IF(SUM(E10:E12)=0,0,"")</f>
        <v/>
      </c>
      <c r="F9" s="57"/>
      <c r="G9" s="57"/>
    </row>
    <row r="10" spans="1:9" ht="21.2" customHeight="1" x14ac:dyDescent="0.3">
      <c r="B10" s="111" t="s">
        <v>163</v>
      </c>
      <c r="C10" s="112"/>
      <c r="D10" s="112"/>
      <c r="E10" s="15" t="str">
        <f>IF(SUM(E12:E12)=0,0,"")</f>
        <v/>
      </c>
      <c r="F10" s="15"/>
      <c r="G10" s="16"/>
    </row>
    <row r="11" spans="1:9" ht="12.75" customHeight="1" x14ac:dyDescent="0.2">
      <c r="E11" s="57" t="str">
        <f>IF(SUM(E12:E12)=0,0,"")</f>
        <v/>
      </c>
      <c r="F11" s="57"/>
      <c r="G11" s="57"/>
    </row>
    <row r="12" spans="1:9" ht="51" x14ac:dyDescent="0.2">
      <c r="B12" s="17" t="s">
        <v>164</v>
      </c>
      <c r="C12" s="18" t="s">
        <v>233</v>
      </c>
      <c r="D12" s="19" t="s">
        <v>320</v>
      </c>
      <c r="E12" s="49">
        <v>380</v>
      </c>
      <c r="F12" s="102"/>
      <c r="G12" s="20" t="str">
        <f t="shared" ref="G12" si="0">IF(F12="","",E12*F12)</f>
        <v/>
      </c>
      <c r="I12" s="99">
        <v>0</v>
      </c>
    </row>
    <row r="13" spans="1:9" ht="12.75" customHeight="1" x14ac:dyDescent="0.2">
      <c r="E13" s="57" t="str">
        <f>IF(SUM(E16:E16)=0,0,"")</f>
        <v/>
      </c>
      <c r="F13" s="57"/>
      <c r="G13" s="57"/>
    </row>
    <row r="14" spans="1:9" ht="21.2" customHeight="1" x14ac:dyDescent="0.3">
      <c r="B14" s="111" t="s">
        <v>165</v>
      </c>
      <c r="C14" s="112"/>
      <c r="D14" s="112"/>
      <c r="E14" s="15" t="str">
        <f>IF(SUM(E16:E16)=0,0,"")</f>
        <v/>
      </c>
      <c r="F14" s="15"/>
      <c r="G14" s="16"/>
    </row>
    <row r="15" spans="1:9" ht="12.75" customHeight="1" x14ac:dyDescent="0.2">
      <c r="E15" s="57" t="str">
        <f>IF(SUM(E16:E16)=0,0,"")</f>
        <v/>
      </c>
      <c r="F15" s="57"/>
      <c r="G15" s="57"/>
    </row>
    <row r="16" spans="1:9" ht="51" x14ac:dyDescent="0.2">
      <c r="B16" s="17" t="s">
        <v>243</v>
      </c>
      <c r="C16" s="18" t="s">
        <v>233</v>
      </c>
      <c r="D16" s="19" t="s">
        <v>319</v>
      </c>
      <c r="E16" s="49">
        <v>150</v>
      </c>
      <c r="F16" s="102"/>
      <c r="G16" s="20" t="str">
        <f t="shared" ref="G16" si="1">IF(F16="","",E16*F16)</f>
        <v/>
      </c>
      <c r="I16" s="6"/>
    </row>
    <row r="17" spans="2:9" x14ac:dyDescent="0.2">
      <c r="E17" s="57" t="str">
        <f>IF(SUM(E18:E20)=0,0,"")</f>
        <v/>
      </c>
      <c r="F17" s="57"/>
      <c r="G17" s="57"/>
    </row>
    <row r="18" spans="2:9" ht="21.2" customHeight="1" x14ac:dyDescent="0.3">
      <c r="B18" s="111" t="s">
        <v>166</v>
      </c>
      <c r="C18" s="112"/>
      <c r="D18" s="112"/>
      <c r="E18" s="15" t="str">
        <f>IF(SUM(E20:E20)=0,0,"")</f>
        <v/>
      </c>
      <c r="F18" s="15"/>
      <c r="G18" s="16"/>
    </row>
    <row r="19" spans="2:9" x14ac:dyDescent="0.2">
      <c r="E19" s="57" t="str">
        <f>IF(SUM(E20:E20)=0,0,"")</f>
        <v/>
      </c>
      <c r="F19" s="57"/>
      <c r="G19" s="57"/>
    </row>
    <row r="20" spans="2:9" ht="51" x14ac:dyDescent="0.2">
      <c r="B20" s="17" t="s">
        <v>167</v>
      </c>
      <c r="C20" s="18" t="s">
        <v>233</v>
      </c>
      <c r="D20" s="19" t="s">
        <v>318</v>
      </c>
      <c r="E20" s="49">
        <v>380</v>
      </c>
      <c r="F20" s="102"/>
      <c r="G20" s="20" t="str">
        <f>IF(F20="","",E20*F20)</f>
        <v/>
      </c>
      <c r="I20" s="99">
        <v>0</v>
      </c>
    </row>
    <row r="21" spans="2:9" x14ac:dyDescent="0.2">
      <c r="E21" s="57" t="str">
        <f>IF(SUM(E24:E25)=0,0,"")</f>
        <v/>
      </c>
      <c r="F21" s="57"/>
      <c r="G21" s="57"/>
    </row>
    <row r="22" spans="2:9" ht="21.2" customHeight="1" x14ac:dyDescent="0.3">
      <c r="B22" s="111" t="s">
        <v>168</v>
      </c>
      <c r="C22" s="112"/>
      <c r="D22" s="112"/>
      <c r="E22" s="15" t="str">
        <f>IF(SUM(E24:E25)=0,0,"")</f>
        <v/>
      </c>
      <c r="F22" s="15"/>
      <c r="G22" s="16"/>
    </row>
    <row r="23" spans="2:9" x14ac:dyDescent="0.2">
      <c r="E23" s="57" t="str">
        <f>IF(SUM(E24:E25)=0,0,"")</f>
        <v/>
      </c>
      <c r="F23" s="57"/>
      <c r="G23" s="57"/>
    </row>
    <row r="24" spans="2:9" ht="51" x14ac:dyDescent="0.2">
      <c r="B24" s="17" t="s">
        <v>169</v>
      </c>
      <c r="C24" s="18" t="s">
        <v>233</v>
      </c>
      <c r="D24" s="19" t="s">
        <v>317</v>
      </c>
      <c r="E24" s="49">
        <v>200</v>
      </c>
      <c r="F24" s="102"/>
      <c r="G24" s="20" t="str">
        <f>IF(F24="","",E24*F24)</f>
        <v/>
      </c>
      <c r="I24" s="99">
        <v>0</v>
      </c>
    </row>
    <row r="25" spans="2:9" ht="51" x14ac:dyDescent="0.2">
      <c r="B25" s="17" t="s">
        <v>364</v>
      </c>
      <c r="C25" s="18" t="s">
        <v>233</v>
      </c>
      <c r="D25" s="19" t="s">
        <v>365</v>
      </c>
      <c r="E25" s="49">
        <v>40</v>
      </c>
      <c r="F25" s="102"/>
      <c r="G25" s="20" t="str">
        <f>IF(F25="","",E25*F25)</f>
        <v/>
      </c>
      <c r="I25" s="99">
        <v>0</v>
      </c>
    </row>
    <row r="26" spans="2:9" ht="12.75" customHeight="1" x14ac:dyDescent="0.2">
      <c r="E26" s="57" t="str">
        <f>IF(SUM(E29:E33)=0,0,"")</f>
        <v/>
      </c>
      <c r="F26" s="57"/>
      <c r="G26" s="57"/>
    </row>
    <row r="27" spans="2:9" ht="21.2" customHeight="1" x14ac:dyDescent="0.3">
      <c r="B27" s="111" t="s">
        <v>170</v>
      </c>
      <c r="C27" s="112"/>
      <c r="D27" s="112"/>
      <c r="E27" s="15" t="str">
        <f>IF(SUM(E29:E33)=0,0,"")</f>
        <v/>
      </c>
      <c r="F27" s="15"/>
      <c r="G27" s="16"/>
    </row>
    <row r="28" spans="2:9" ht="12.75" customHeight="1" x14ac:dyDescent="0.2">
      <c r="E28" s="57" t="str">
        <f>IF(SUM(E29:E33)=0,0,"")</f>
        <v/>
      </c>
      <c r="F28" s="57"/>
      <c r="G28" s="57"/>
    </row>
    <row r="29" spans="2:9" ht="25.5" x14ac:dyDescent="0.2">
      <c r="B29" s="17" t="s">
        <v>171</v>
      </c>
      <c r="C29" s="18" t="s">
        <v>172</v>
      </c>
      <c r="D29" s="19" t="s">
        <v>234</v>
      </c>
      <c r="E29" s="49">
        <v>70</v>
      </c>
      <c r="F29" s="102"/>
      <c r="G29" s="20" t="str">
        <f t="shared" ref="G29:G32" si="2">IF(F29="","",E29*F29)</f>
        <v/>
      </c>
      <c r="I29" s="99">
        <v>125</v>
      </c>
    </row>
    <row r="30" spans="2:9" ht="25.5" x14ac:dyDescent="0.2">
      <c r="B30" s="17" t="s">
        <v>173</v>
      </c>
      <c r="C30" s="18" t="s">
        <v>4</v>
      </c>
      <c r="D30" s="19" t="s">
        <v>238</v>
      </c>
      <c r="E30" s="49">
        <v>1</v>
      </c>
      <c r="F30" s="102"/>
      <c r="G30" s="20" t="str">
        <f t="shared" si="2"/>
        <v/>
      </c>
      <c r="I30" s="99">
        <v>0</v>
      </c>
    </row>
    <row r="31" spans="2:9" ht="25.5" x14ac:dyDescent="0.2">
      <c r="B31" s="17" t="s">
        <v>174</v>
      </c>
      <c r="C31" s="18" t="s">
        <v>172</v>
      </c>
      <c r="D31" s="19" t="s">
        <v>235</v>
      </c>
      <c r="E31" s="49">
        <v>15</v>
      </c>
      <c r="F31" s="102"/>
      <c r="G31" s="20" t="str">
        <f t="shared" si="2"/>
        <v/>
      </c>
      <c r="I31" s="99">
        <v>125</v>
      </c>
    </row>
    <row r="32" spans="2:9" ht="38.25" x14ac:dyDescent="0.2">
      <c r="B32" s="17" t="s">
        <v>264</v>
      </c>
      <c r="C32" s="18" t="s">
        <v>4</v>
      </c>
      <c r="D32" s="19" t="s">
        <v>315</v>
      </c>
      <c r="E32" s="49">
        <v>1</v>
      </c>
      <c r="F32" s="102"/>
      <c r="G32" s="20" t="str">
        <f t="shared" si="2"/>
        <v/>
      </c>
      <c r="I32" s="99">
        <v>0</v>
      </c>
    </row>
    <row r="33" spans="2:9" ht="25.5" x14ac:dyDescent="0.2">
      <c r="B33" s="17" t="s">
        <v>265</v>
      </c>
      <c r="C33" s="18" t="s">
        <v>4</v>
      </c>
      <c r="D33" s="19" t="s">
        <v>316</v>
      </c>
      <c r="E33" s="49">
        <v>1</v>
      </c>
      <c r="F33" s="102"/>
      <c r="G33" s="20" t="str">
        <f t="shared" ref="G33" si="3">IF(F33="","",E33*F33)</f>
        <v/>
      </c>
      <c r="I33" s="99">
        <v>0</v>
      </c>
    </row>
    <row r="34" spans="2:9" ht="12.75" customHeight="1" thickBot="1" x14ac:dyDescent="0.25"/>
    <row r="35" spans="2:9" ht="16.5" thickBot="1" x14ac:dyDescent="0.25">
      <c r="D35" s="25" t="s">
        <v>159</v>
      </c>
      <c r="E35" s="26"/>
      <c r="F35" s="108" t="str">
        <f>IF(SUM(G6:G33)=0,"",SUM(G6:G33))</f>
        <v/>
      </c>
      <c r="G35" s="109"/>
    </row>
  </sheetData>
  <sheetProtection algorithmName="SHA-512" hashValue="7U5tWIz2IA4EiQ7zyWfij/y5dWbbK0qulOKw9j5f0TtJ0uFexO7OQG9E0mSzZSJDJ6gNtXXMWiTPj/1Cg5m2DA==" saltValue="kDmmVT8OxgWEoZJ7nUccZw==" spinCount="100000" sheet="1" selectLockedCells="1"/>
  <dataConsolidate/>
  <mergeCells count="8">
    <mergeCell ref="B27:D27"/>
    <mergeCell ref="F35:G35"/>
    <mergeCell ref="B10:D10"/>
    <mergeCell ref="B4:G4"/>
    <mergeCell ref="B6:D6"/>
    <mergeCell ref="B14:D14"/>
    <mergeCell ref="B18:D18"/>
    <mergeCell ref="B22:D22"/>
  </mergeCells>
  <pageMargins left="0.70866141732283472" right="0.70866141732283472" top="0.74803149606299213" bottom="0.74803149606299213" header="0.31496062992125984" footer="0.31496062992125984"/>
  <pageSetup paperSize="9" orientation="portrait" r:id="rId1"/>
  <headerFooter>
    <oddHeader>&amp;L&amp;"Arial Narrow,Navadno"    &amp;G&amp;C&amp;"Arial Narrow,Poševno"&amp;10&amp;A</oddHeader>
    <oddFooter>&amp;C&amp;"Arial Narrow,Poševno"&amp;10Stran &amp;P / &amp;N</oddFooter>
  </headerFooter>
  <rowBreaks count="1" manualBreakCount="1">
    <brk id="26"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52</vt:i4>
      </vt:variant>
    </vt:vector>
  </HeadingPairs>
  <TitlesOfParts>
    <vt:vector size="60" baseType="lpstr">
      <vt:lpstr>REKAPITULACIJA</vt:lpstr>
      <vt:lpstr>1. PREDDELA</vt:lpstr>
      <vt:lpstr>2. ZEMELJSKA DELA</vt:lpstr>
      <vt:lpstr>3. VOZIŠČNE KONSTRUKCIJE</vt:lpstr>
      <vt:lpstr>4. ODVODNJAVANJE</vt:lpstr>
      <vt:lpstr>5. GRADBENA IN OBRTNIŠKA DELA</vt:lpstr>
      <vt:lpstr>6. OPREMA CEST</vt:lpstr>
      <vt:lpstr>7. TUJE STORITVE</vt:lpstr>
      <vt:lpstr>_1.1_Geodetska_dela</vt:lpstr>
      <vt:lpstr>_1.2_Čiščenje_terena</vt:lpstr>
      <vt:lpstr>_1.3_Ostala_preddela</vt:lpstr>
      <vt:lpstr>'1. PREDDELA'!_1_preddela_1</vt:lpstr>
      <vt:lpstr>'2. ZEMELJSKA DELA'!_1_preddela_1</vt:lpstr>
      <vt:lpstr>'3. VOZIŠČNE KONSTRUKCIJE'!_1_preddela_1</vt:lpstr>
      <vt:lpstr>'4. ODVODNJAVANJE'!_1_preddela_1</vt:lpstr>
      <vt:lpstr>'5. GRADBENA IN OBRTNIŠKA DELA'!_1_preddela_1</vt:lpstr>
      <vt:lpstr>'6. OPREMA CEST'!_1_preddela_1</vt:lpstr>
      <vt:lpstr>'7. TUJE STORITVE'!_1_preddela_1</vt:lpstr>
      <vt:lpstr>_2.1_Izkopi</vt:lpstr>
      <vt:lpstr>_2.2_Planum_tal</vt:lpstr>
      <vt:lpstr>_2.3_ločilne_drenažne_filterske_plasti</vt:lpstr>
      <vt:lpstr>_2.4_Nasipi_zasipi_posteljica</vt:lpstr>
      <vt:lpstr>_2.5_Brežine_zelenice</vt:lpstr>
      <vt:lpstr>_2.9_prevozi_razprostiranje_materiala</vt:lpstr>
      <vt:lpstr>_3.1_Nosilne_plasti</vt:lpstr>
      <vt:lpstr>_3.2_Obrabne_plasti</vt:lpstr>
      <vt:lpstr>_3.4_Tlakovane_obrabne_plasti</vt:lpstr>
      <vt:lpstr>_3.5_Robni_elementi_vozišč</vt:lpstr>
      <vt:lpstr>_4.1_Površinsko_odvodnjavanje</vt:lpstr>
      <vt:lpstr>_4.3_Kanalizacija</vt:lpstr>
      <vt:lpstr>_4.4_Jaški</vt:lpstr>
      <vt:lpstr>_5.2_Dela_z_jeklom</vt:lpstr>
      <vt:lpstr>_5.5_Popravila_objektov</vt:lpstr>
      <vt:lpstr>_6.1_Pokončna_oprema_cest</vt:lpstr>
      <vt:lpstr>_6.2_Označbe_na_voziščihž</vt:lpstr>
      <vt:lpstr>_6.3_Oprema_za_vodenje_prometa</vt:lpstr>
      <vt:lpstr>_6.4_Oprema_za_zavarovanje_prometa</vt:lpstr>
      <vt:lpstr>_6.6_Druga_prometna_oprema_cest</vt:lpstr>
      <vt:lpstr>_7.2_Elektroenergetski_vodi</vt:lpstr>
      <vt:lpstr>_7.3_Telekomunikacijske_naprave</vt:lpstr>
      <vt:lpstr>_7.5_Javna_razsvetljava</vt:lpstr>
      <vt:lpstr>_7.6_vodovod</vt:lpstr>
      <vt:lpstr>_7.7_Plinovod</vt:lpstr>
      <vt:lpstr>_7.9_Preizkusi_nadzor_dokumentacija</vt:lpstr>
      <vt:lpstr>Čiščenje_terena_1.2</vt:lpstr>
      <vt:lpstr>Geodetska_dela_1.1</vt:lpstr>
      <vt:lpstr>Ostala_preddela_1.3</vt:lpstr>
      <vt:lpstr>'2. ZEMELJSKA DELA'!Področje_tiskanja</vt:lpstr>
      <vt:lpstr>'3. VOZIŠČNE KONSTRUKCIJE'!Področje_tiskanja</vt:lpstr>
      <vt:lpstr>'4. ODVODNJAVANJE'!Področje_tiskanja</vt:lpstr>
      <vt:lpstr>'5. GRADBENA IN OBRTNIŠKA DELA'!Področje_tiskanja</vt:lpstr>
      <vt:lpstr>REKAPITULACIJA!Področje_tiskanja</vt:lpstr>
      <vt:lpstr>'1. PREDDELA'!Tiskanje_naslovov</vt:lpstr>
      <vt:lpstr>'2. ZEMELJSKA DELA'!Tiskanje_naslovov</vt:lpstr>
      <vt:lpstr>'3. VOZIŠČNE KONSTRUKCIJE'!Tiskanje_naslovov</vt:lpstr>
      <vt:lpstr>'4. ODVODNJAVANJE'!Tiskanje_naslovov</vt:lpstr>
      <vt:lpstr>'5. GRADBENA IN OBRTNIŠKA DELA'!Tiskanje_naslovov</vt:lpstr>
      <vt:lpstr>'6. OPREMA CEST'!Tiskanje_naslovov</vt:lpstr>
      <vt:lpstr>'7. TUJE STORITVE'!Tiskanje_naslovov</vt:lpstr>
      <vt:lpstr>za_zavarovanje_prometa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Klemen Strle</cp:lastModifiedBy>
  <cp:lastPrinted>2026-01-20T06:02:58Z</cp:lastPrinted>
  <dcterms:created xsi:type="dcterms:W3CDTF">2010-07-30T11:24:43Z</dcterms:created>
  <dcterms:modified xsi:type="dcterms:W3CDTF">2026-01-20T08:42:54Z</dcterms:modified>
</cp:coreProperties>
</file>